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8359\Downloads\"/>
    </mc:Choice>
  </mc:AlternateContent>
  <xr:revisionPtr revIDLastSave="0" documentId="8_{13F78BB0-115C-4C84-A96D-56F12BAF4313}" xr6:coauthVersionLast="47" xr6:coauthVersionMax="47" xr10:uidLastSave="{00000000-0000-0000-0000-000000000000}"/>
  <bookViews>
    <workbookView xWindow="7005" yWindow="4695" windowWidth="24555" windowHeight="14355" xr2:uid="{00000000-000D-0000-FFFF-FFFF00000000}"/>
  </bookViews>
  <sheets>
    <sheet name="Example ABOVE the band" sheetId="1" r:id="rId1"/>
    <sheet name="Example BELOW the band" sheetId="2" r:id="rId2"/>
  </sheets>
  <definedNames>
    <definedName name="_xlnm.Print_Area" localSheetId="0">'Example ABOVE the band'!$A$1:$B$23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13" i="2" s="1"/>
  <c r="B4" i="1"/>
  <c r="B7" i="1" s="1"/>
  <c r="B7" i="2" l="1"/>
  <c r="B6" i="2"/>
  <c r="B11" i="2" s="1"/>
  <c r="B6" i="1"/>
  <c r="B11" i="1" s="1"/>
  <c r="B15" i="1" s="1"/>
  <c r="B19" i="2" l="1"/>
  <c r="B15" i="2"/>
  <c r="B16" i="2" s="1"/>
  <c r="B13" i="1"/>
  <c r="B20" i="2" l="1"/>
  <c r="B21" i="2" s="1"/>
  <c r="B16" i="1"/>
  <c r="B19" i="1" s="1"/>
  <c r="B20" i="1" s="1"/>
  <c r="B21" i="1" l="1"/>
</calcChain>
</file>

<file path=xl/sharedStrings.xml><?xml version="1.0" encoding="utf-8"?>
<sst xmlns="http://schemas.openxmlformats.org/spreadsheetml/2006/main" count="28" uniqueCount="14">
  <si>
    <t>PREMIUM TAX</t>
  </si>
  <si>
    <t>TOTAL AMOUNT DUE TO/(DUE FROM)</t>
  </si>
  <si>
    <t>BOTTOM OF BAND MEMBER MONTHS</t>
  </si>
  <si>
    <t>TOP OF BAND MEMBER MONTHS</t>
  </si>
  <si>
    <t>ACTUAL MEMBER MONTHS</t>
  </si>
  <si>
    <t>PAYMENT/(RECOUPMENT) DUE</t>
  </si>
  <si>
    <t>MEMBER MONTHS TIMES FIXED ADMIN PMPM</t>
  </si>
  <si>
    <t>RISK CORRIDOR PERCENTAGE</t>
  </si>
  <si>
    <t>BAND STATUS</t>
  </si>
  <si>
    <t xml:space="preserve">PROJECTED MEMBER MONTHS </t>
  </si>
  <si>
    <t>MEMBER MONTHS DIFFERENCE FROM THE BAND</t>
  </si>
  <si>
    <t>PERCENTAGE OF ACTUAL MEMBER MONTHS DIVIDED BY PROJECTED MEMBER MONTHS</t>
  </si>
  <si>
    <t>FIXED ADMINISTRATIVE RECONCILIATION</t>
  </si>
  <si>
    <t xml:space="preserve">FIXED ADMINISTRATIVE COST COMPONENT PER MEMBER PER MONTH (PMPM)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</si>
</sst>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999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/>
    <xf numFmtId="10" fontId="0" fillId="0" borderId="0" xfId="2" applyNumberFormat="1" applyFont="1"/>
    <xf numFmtId="43" fontId="0" fillId="0" borderId="0" xfId="1" applyFont="1" applyAlignment="1">
      <alignment horizontal="left" wrapText="1"/>
    </xf>
    <xf numFmtId="165" fontId="0" fillId="0" borderId="0" xfId="2" applyNumberFormat="1" applyFont="1"/>
    <xf numFmtId="165" fontId="0" fillId="0" borderId="4" xfId="0" applyNumberFormat="1" applyBorder="1" applyAlignment="1">
      <alignment horizontal="right" wrapText="1"/>
    </xf>
    <xf numFmtId="164" fontId="5" fillId="0" borderId="4" xfId="1" applyNumberFormat="1" applyFont="1" applyBorder="1"/>
    <xf numFmtId="10" fontId="0" fillId="0" borderId="4" xfId="2" applyNumberFormat="1" applyFont="1" applyBorder="1" applyAlignment="1">
      <alignment horizontal="right" wrapText="1"/>
    </xf>
    <xf numFmtId="164" fontId="0" fillId="0" borderId="4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right"/>
    </xf>
    <xf numFmtId="10" fontId="0" fillId="0" borderId="4" xfId="2" applyNumberFormat="1" applyFont="1" applyBorder="1"/>
    <xf numFmtId="164" fontId="0" fillId="0" borderId="4" xfId="1" applyNumberFormat="1" applyFont="1" applyBorder="1"/>
    <xf numFmtId="165" fontId="0" fillId="0" borderId="4" xfId="3" applyNumberFormat="1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top"/>
    </xf>
    <xf numFmtId="7" fontId="0" fillId="0" borderId="4" xfId="3" applyNumberFormat="1" applyFont="1" applyBorder="1"/>
    <xf numFmtId="7" fontId="4" fillId="0" borderId="4" xfId="3" applyNumberFormat="1" applyFont="1" applyBorder="1"/>
    <xf numFmtId="0" fontId="3" fillId="2" borderId="2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justify" vertical="top" wrapText="1"/>
    </xf>
    <xf numFmtId="0" fontId="7" fillId="3" borderId="0" xfId="0" applyFont="1" applyFill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vertical="top"/>
    </xf>
    <xf numFmtId="0" fontId="6" fillId="3" borderId="3" xfId="0" applyFont="1" applyFill="1" applyBorder="1" applyAlignment="1">
      <alignment horizontal="justify" vertical="top" wrapText="1"/>
    </xf>
    <xf numFmtId="0" fontId="6" fillId="3" borderId="3" xfId="0" applyFont="1" applyFill="1" applyBorder="1"/>
    <xf numFmtId="0" fontId="6" fillId="3" borderId="3" xfId="0" applyFont="1" applyFill="1" applyBorder="1" applyAlignment="1">
      <alignment wrapText="1"/>
    </xf>
    <xf numFmtId="0" fontId="6" fillId="3" borderId="5" xfId="0" applyFont="1" applyFill="1" applyBorder="1" applyAlignment="1">
      <alignment vertical="top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69992"/>
      <color rgb="FFCC6C20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3"/>
  <sheetViews>
    <sheetView tabSelected="1" view="pageLayout" zoomScale="120" zoomScaleNormal="100" zoomScalePageLayoutView="120" workbookViewId="0">
      <selection activeCell="A27" sqref="A27"/>
    </sheetView>
  </sheetViews>
  <sheetFormatPr defaultColWidth="9.140625" defaultRowHeight="15" x14ac:dyDescent="0.25"/>
  <cols>
    <col min="1" max="1" width="94.7109375" customWidth="1"/>
    <col min="2" max="2" width="35.140625" customWidth="1"/>
  </cols>
  <sheetData>
    <row r="1" spans="1:2" ht="18" customHeight="1" x14ac:dyDescent="0.25">
      <c r="A1" s="22" t="s">
        <v>12</v>
      </c>
      <c r="B1" s="21"/>
    </row>
    <row r="2" spans="1:2" ht="17.25" customHeight="1" x14ac:dyDescent="0.25">
      <c r="A2" s="16"/>
      <c r="B2" s="6"/>
    </row>
    <row r="3" spans="1:2" ht="17.25" customHeight="1" x14ac:dyDescent="0.25">
      <c r="A3" s="23" t="s">
        <v>13</v>
      </c>
      <c r="B3" s="8">
        <v>12.98</v>
      </c>
    </row>
    <row r="4" spans="1:2" ht="17.25" customHeight="1" x14ac:dyDescent="0.25">
      <c r="A4" s="23" t="s">
        <v>9</v>
      </c>
      <c r="B4" s="9">
        <f>5168874</f>
        <v>5168874</v>
      </c>
    </row>
    <row r="5" spans="1:2" ht="17.25" customHeight="1" x14ac:dyDescent="0.25">
      <c r="A5" s="23" t="s">
        <v>7</v>
      </c>
      <c r="B5" s="10">
        <v>0.02</v>
      </c>
    </row>
    <row r="6" spans="1:2" x14ac:dyDescent="0.25">
      <c r="A6" s="24" t="s">
        <v>2</v>
      </c>
      <c r="B6" s="11">
        <f>(B4*(1-B5))</f>
        <v>5065496.5199999996</v>
      </c>
    </row>
    <row r="7" spans="1:2" x14ac:dyDescent="0.25">
      <c r="A7" s="24" t="s">
        <v>3</v>
      </c>
      <c r="B7" s="11">
        <f>B4*(1+B5)</f>
        <v>5272251.4800000004</v>
      </c>
    </row>
    <row r="8" spans="1:2" x14ac:dyDescent="0.25">
      <c r="A8" s="29"/>
      <c r="B8" s="1"/>
    </row>
    <row r="9" spans="1:2" x14ac:dyDescent="0.25">
      <c r="A9" s="26" t="s">
        <v>4</v>
      </c>
      <c r="B9" s="11">
        <v>5300000</v>
      </c>
    </row>
    <row r="10" spans="1:2" x14ac:dyDescent="0.25">
      <c r="A10" s="30"/>
      <c r="B10" s="3"/>
    </row>
    <row r="11" spans="1:2" x14ac:dyDescent="0.25">
      <c r="A11" s="26" t="s">
        <v>8</v>
      </c>
      <c r="B11" s="12" t="str">
        <f>IF(AND(B9&gt;B6,B9&lt;B7),"Inside Band, no payments/recoupment due",IF(B9&gt;B7,"(Recoupment from Plan, Above Band)","Payment from AHCCCS, Below Band"))</f>
        <v>(Recoupment from Plan, Above Band)</v>
      </c>
    </row>
    <row r="12" spans="1:2" x14ac:dyDescent="0.25">
      <c r="A12" s="30"/>
      <c r="B12" s="4"/>
    </row>
    <row r="13" spans="1:2" x14ac:dyDescent="0.25">
      <c r="A13" s="27" t="s">
        <v>11</v>
      </c>
      <c r="B13" s="13">
        <f>(B9/B4)-1</f>
        <v>2.5368387776525392E-2</v>
      </c>
    </row>
    <row r="14" spans="1:2" x14ac:dyDescent="0.25">
      <c r="A14" s="31"/>
      <c r="B14" s="5"/>
    </row>
    <row r="15" spans="1:2" x14ac:dyDescent="0.25">
      <c r="A15" s="27" t="s">
        <v>10</v>
      </c>
      <c r="B15" s="14">
        <f>IF(ISNUMBER(SEARCH("above",B11)),(B9-B7),IF(ISNUMBER(SEARCH("below",B11)),(B6-B9),"Inside Band, no payments/recoupment due"))</f>
        <v>27748.519999999553</v>
      </c>
    </row>
    <row r="16" spans="1:2" x14ac:dyDescent="0.25">
      <c r="A16" s="27" t="s">
        <v>6</v>
      </c>
      <c r="B16" s="15">
        <f>IFERROR(B15*B3,"Inside Band, no payment/recoupment due")</f>
        <v>360175.7895999942</v>
      </c>
    </row>
    <row r="17" spans="1:2" x14ac:dyDescent="0.25">
      <c r="A17" s="31"/>
      <c r="B17" s="7"/>
    </row>
    <row r="18" spans="1:2" x14ac:dyDescent="0.25">
      <c r="A18" s="31"/>
      <c r="B18" s="7"/>
    </row>
    <row r="19" spans="1:2" x14ac:dyDescent="0.25">
      <c r="A19" s="27" t="s">
        <v>5</v>
      </c>
      <c r="B19" s="19">
        <f>IF(ISNUMBER(SEARCH("above",B11)),-B16,IF(ISNUMBER(SEARCH("below",B11)),B16,0))</f>
        <v>-360175.7895999942</v>
      </c>
    </row>
    <row r="20" spans="1:2" x14ac:dyDescent="0.25">
      <c r="A20" s="32" t="s">
        <v>0</v>
      </c>
      <c r="B20" s="19">
        <f>ROUND(B19/0.98-B19,2)</f>
        <v>-7350.53</v>
      </c>
    </row>
    <row r="21" spans="1:2" x14ac:dyDescent="0.25">
      <c r="A21" s="26" t="s">
        <v>1</v>
      </c>
      <c r="B21" s="19">
        <f>SUM(B19:B20)</f>
        <v>-367526.31959999423</v>
      </c>
    </row>
    <row r="22" spans="1:2" x14ac:dyDescent="0.25">
      <c r="A22" s="17"/>
      <c r="B22" s="2"/>
    </row>
    <row r="23" spans="1:2" x14ac:dyDescent="0.25">
      <c r="A23" s="18"/>
      <c r="B23" s="2"/>
    </row>
  </sheetData>
  <printOptions horizontalCentered="1" verticalCentered="1"/>
  <pageMargins left="0.7" right="0.7" top="1.46875" bottom="0.75" header="0.3" footer="0.3"/>
  <pageSetup scale="94" orientation="landscape" r:id="rId1"/>
  <headerFooter>
    <oddHeader xml:space="preserve">&amp;L&amp;G&amp;C&amp;"-,Bold"&amp;12&amp;K369992AHCCCS CONTRACTOR OPERATIONS MANUAL
 POLICY 326 CYE 26 - ATTACHMENT A - 
ADMIN/MEMBER MONTH RECONCILIATION EXAMPLE
For Contract Year Ended XX/XX/XXXX as of XX/XX/XXXX&amp;K2F8DCB
</oddHeader>
    <oddFooter>&amp;L&amp;10&amp;K369992Effective Dates: 10/01/25
Approval Dates:  09/11/25&amp;C&amp;"-,Bold"&amp;12&amp;K369992 326 - Attachment A - 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1BEDE-1DDF-4C2B-8F5F-5ED439D1176B}">
  <sheetPr>
    <pageSetUpPr fitToPage="1"/>
  </sheetPr>
  <dimension ref="A1:B21"/>
  <sheetViews>
    <sheetView view="pageLayout" zoomScale="120" zoomScaleNormal="100" zoomScalePageLayoutView="120" workbookViewId="0">
      <selection activeCell="A29" sqref="A29"/>
    </sheetView>
  </sheetViews>
  <sheetFormatPr defaultColWidth="9.140625" defaultRowHeight="15" x14ac:dyDescent="0.25"/>
  <cols>
    <col min="1" max="1" width="87.5703125" customWidth="1"/>
    <col min="2" max="2" width="35.28515625" customWidth="1"/>
  </cols>
  <sheetData>
    <row r="1" spans="1:2" ht="18" customHeight="1" x14ac:dyDescent="0.25">
      <c r="A1" s="22" t="s">
        <v>12</v>
      </c>
      <c r="B1" s="21"/>
    </row>
    <row r="2" spans="1:2" ht="17.25" customHeight="1" x14ac:dyDescent="0.25"/>
    <row r="3" spans="1:2" ht="17.25" customHeight="1" x14ac:dyDescent="0.25">
      <c r="A3" s="23" t="s">
        <v>13</v>
      </c>
      <c r="B3" s="8">
        <v>12.98</v>
      </c>
    </row>
    <row r="4" spans="1:2" ht="17.25" customHeight="1" x14ac:dyDescent="0.25">
      <c r="A4" s="23" t="s">
        <v>9</v>
      </c>
      <c r="B4" s="9">
        <f>5168874</f>
        <v>5168874</v>
      </c>
    </row>
    <row r="5" spans="1:2" ht="17.25" customHeight="1" x14ac:dyDescent="0.25">
      <c r="A5" s="23" t="s">
        <v>7</v>
      </c>
      <c r="B5" s="10">
        <v>0.02</v>
      </c>
    </row>
    <row r="6" spans="1:2" x14ac:dyDescent="0.25">
      <c r="A6" s="24" t="s">
        <v>2</v>
      </c>
      <c r="B6" s="11">
        <f>(B4*(1-B5))</f>
        <v>5065496.5199999996</v>
      </c>
    </row>
    <row r="7" spans="1:2" x14ac:dyDescent="0.25">
      <c r="A7" s="24" t="s">
        <v>3</v>
      </c>
      <c r="B7" s="11">
        <f>B4*(1+B5)</f>
        <v>5272251.4800000004</v>
      </c>
    </row>
    <row r="8" spans="1:2" x14ac:dyDescent="0.25">
      <c r="A8" s="25"/>
    </row>
    <row r="9" spans="1:2" x14ac:dyDescent="0.25">
      <c r="A9" s="26" t="s">
        <v>4</v>
      </c>
      <c r="B9" s="11">
        <v>5064476</v>
      </c>
    </row>
    <row r="10" spans="1:2" x14ac:dyDescent="0.25">
      <c r="A10" s="25"/>
    </row>
    <row r="11" spans="1:2" x14ac:dyDescent="0.25">
      <c r="A11" s="26" t="s">
        <v>8</v>
      </c>
      <c r="B11" s="12" t="str">
        <f>IF(AND(B9&gt;B6,B9&lt;B7),"Inside Band, no payments/recoupment due",IF(B9&gt;B7,"(Recoupment from Plan, Above Band)","Payment from AHCCCS, Below Band"))</f>
        <v>Payment from AHCCCS, Below Band</v>
      </c>
    </row>
    <row r="12" spans="1:2" x14ac:dyDescent="0.25">
      <c r="A12" s="25"/>
    </row>
    <row r="13" spans="1:2" x14ac:dyDescent="0.25">
      <c r="A13" s="27" t="s">
        <v>11</v>
      </c>
      <c r="B13" s="13">
        <f>(B9/B4)-1</f>
        <v>-2.0197435650395001E-2</v>
      </c>
    </row>
    <row r="14" spans="1:2" x14ac:dyDescent="0.25">
      <c r="A14" s="25"/>
    </row>
    <row r="15" spans="1:2" x14ac:dyDescent="0.25">
      <c r="A15" s="27" t="s">
        <v>10</v>
      </c>
      <c r="B15" s="14">
        <f>IF(ISNUMBER(SEARCH("above",B11)),(B9-B7),IF(ISNUMBER(SEARCH("below",B11)),(B6-B9),"Inside Band, no payments/recoupment due"))</f>
        <v>1020.519999999553</v>
      </c>
    </row>
    <row r="16" spans="1:2" x14ac:dyDescent="0.25">
      <c r="A16" s="27" t="s">
        <v>6</v>
      </c>
      <c r="B16" s="15">
        <f>IFERROR(B15*B3,"Inside Band, no payment/recoupment due")</f>
        <v>13246.349599994199</v>
      </c>
    </row>
    <row r="17" spans="1:2" x14ac:dyDescent="0.25">
      <c r="A17" s="25"/>
    </row>
    <row r="18" spans="1:2" x14ac:dyDescent="0.25">
      <c r="A18" s="25"/>
    </row>
    <row r="19" spans="1:2" x14ac:dyDescent="0.25">
      <c r="A19" s="27" t="s">
        <v>5</v>
      </c>
      <c r="B19" s="19">
        <f>IF(ISNUMBER(SEARCH("above",B11)),-B16,IF(ISNUMBER(SEARCH("below",B11)),B16,0))</f>
        <v>13246.349599994199</v>
      </c>
    </row>
    <row r="20" spans="1:2" x14ac:dyDescent="0.25">
      <c r="A20" s="28" t="s">
        <v>0</v>
      </c>
      <c r="B20" s="19">
        <f>ROUND(B19/0.98-B19,2)</f>
        <v>270.33</v>
      </c>
    </row>
    <row r="21" spans="1:2" x14ac:dyDescent="0.25">
      <c r="A21" s="26" t="s">
        <v>1</v>
      </c>
      <c r="B21" s="20">
        <f>SUM(B19:B20)</f>
        <v>13516.679599994199</v>
      </c>
    </row>
  </sheetData>
  <printOptions horizontalCentered="1" verticalCentered="1"/>
  <pageMargins left="0.7" right="0.7" top="1.46875" bottom="0.75" header="0.3" footer="0.3"/>
  <pageSetup scale="99" orientation="landscape" r:id="rId1"/>
  <headerFooter>
    <oddHeader xml:space="preserve">&amp;L&amp;G&amp;C&amp;"-,Bold"&amp;12&amp;K369992AHCCCS CONTRACTOR OPERATIONS MANUAL
 POLICY 326 CYE 26 - ATTACHMENT A - 
ADMIN/MEMBER MONTH RECONCILIATION EXAMPLE
For Contract Year Ended XX/XX/XXXX as of XX/XX/XXXX&amp;K2F8DCB
</oddHeader>
    <oddFooter>&amp;L&amp;10&amp;K369992Effective Dates: 10/01/25
Approval Dates:  9/11/25&amp;C&amp;"-,Bold"&amp;12&amp;K369992 326 - Attachment A - 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BA4D6-AD0C-4804-8B59-B028DA65A8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FA9A5E-5AD6-4211-9E8B-147BF10D2EF8}">
  <ds:schemaRefs>
    <ds:schemaRef ds:uri="http://purl.org/dc/elements/1.1/"/>
    <ds:schemaRef ds:uri="fa328e85-1231-4692-ab8d-fba2a139eb09"/>
    <ds:schemaRef ds:uri="52a80b62-27cb-4b8e-ad5c-9ed813b8c946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B4C1E5-0A04-4B3D-9F9B-07CAF9F05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Example ABOVE the band</vt:lpstr>
      <vt:lpstr>Example BELOW the band</vt:lpstr>
      <vt:lpstr>'Example ABOVE the band'!Print_Area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Navas, Devra</dc:creator>
  <cp:keywords/>
  <dc:description/>
  <cp:lastModifiedBy>Voogd, Leanna</cp:lastModifiedBy>
  <cp:revision/>
  <cp:lastPrinted>2025-06-19T21:46:59Z</cp:lastPrinted>
  <dcterms:created xsi:type="dcterms:W3CDTF">2018-09-28T01:58:12Z</dcterms:created>
  <dcterms:modified xsi:type="dcterms:W3CDTF">2025-09-27T00:19:02Z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WorkflowChangePath">
    <vt:lpwstr>173d42c7-3487-41a1-8f37-2b3815e72e09,13;173d42c7-3487-41a1-8f37-2b3815e72e09,35;</vt:lpwstr>
  </property>
  <property fmtid="{D5CDD505-2E9C-101B-9397-08002B2CF9AE}" pid="4" name="Order">
    <vt:r8>1881800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SharedWithUsers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TemplateUrl">
    <vt:lpwstr/>
  </property>
  <property fmtid="{D5CDD505-2E9C-101B-9397-08002B2CF9AE}" pid="11" name="ComplianceAssetId">
    <vt:lpwstr/>
  </property>
  <property fmtid="{D5CDD505-2E9C-101B-9397-08002B2CF9AE}" pid="12" name="MediaServiceImageTags">
    <vt:lpwstr/>
  </property>
</Properties>
</file>