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815" firstSheet="1" activeTab="1"/>
  </bookViews>
  <sheets>
    <sheet name="Recoup CYE 14, 16 and FWD" sheetId="1" r:id="rId1"/>
    <sheet name="Reimburse CYE 14 through CYE 18" sheetId="2" r:id="rId2"/>
    <sheet name="Recoup CYE 15 Only" sheetId="3" r:id="rId3"/>
    <sheet name="Reimburse CYE 15 Only" sheetId="4" r:id="rId4"/>
  </sheets>
  <externalReferences>
    <externalReference r:id="rId7"/>
  </externalReferences>
  <definedNames>
    <definedName name="Bound">'[1]Inputs'!$B$6</definedName>
    <definedName name="ReconPercent">'[1]Inputs'!$B$4</definedName>
  </definedNames>
  <calcPr fullCalcOnLoad="1"/>
</workbook>
</file>

<file path=xl/sharedStrings.xml><?xml version="1.0" encoding="utf-8"?>
<sst xmlns="http://schemas.openxmlformats.org/spreadsheetml/2006/main" count="260" uniqueCount="74">
  <si>
    <t>Premium Tax</t>
  </si>
  <si>
    <t>Settlement</t>
  </si>
  <si>
    <t>Excess Profit</t>
  </si>
  <si>
    <t>Recoup. %</t>
  </si>
  <si>
    <t>Recoupment</t>
  </si>
  <si>
    <t xml:space="preserve">Amount </t>
  </si>
  <si>
    <t>Excess Loss</t>
  </si>
  <si>
    <t>Underpaid</t>
  </si>
  <si>
    <t>Reimburse</t>
  </si>
  <si>
    <t>3% &lt; x &lt;= 6%</t>
  </si>
  <si>
    <t>x &gt; 6%</t>
  </si>
  <si>
    <t>Assumptions:</t>
  </si>
  <si>
    <t>FOR THE CONTRACT YEAR ENDED 9/30/XX</t>
  </si>
  <si>
    <t>As Of: xx/xx/xx</t>
  </si>
  <si>
    <t>Profit/(Loss) % of Net Capitation</t>
  </si>
  <si>
    <t>Recon Amount Due to/From Calculation</t>
  </si>
  <si>
    <t>&lt;=3%</t>
  </si>
  <si>
    <t>Amount</t>
  </si>
  <si>
    <t>Overpaid</t>
  </si>
  <si>
    <t>Calcs</t>
  </si>
  <si>
    <t>1) Total Capitation includes Capitation Payments for dates of service within the reconciliation time frame.</t>
  </si>
  <si>
    <t>Total CRS</t>
  </si>
  <si>
    <t>CRS Only</t>
  </si>
  <si>
    <t>x &gt; 3%</t>
  </si>
  <si>
    <t>CRS Fully Integrated</t>
  </si>
  <si>
    <t>CRS Partially-Integrated Acute</t>
  </si>
  <si>
    <t>CRS Partially-Integrated Behavioral Health</t>
  </si>
  <si>
    <t>Total Profit/(Loss) to be Reconciled</t>
  </si>
  <si>
    <t>Net Amount Due to (from) Contractor:</t>
  </si>
  <si>
    <t>Amount Due to (from) Contractor:</t>
  </si>
  <si>
    <t>3) Reinsurance Paid is based on actual reinsurance payments for dates of service within the reconciliation time frame.</t>
  </si>
  <si>
    <t>Capitation</t>
  </si>
  <si>
    <t>Less: Administrative Component</t>
  </si>
  <si>
    <t>Net Capitation</t>
  </si>
  <si>
    <t>Expense</t>
  </si>
  <si>
    <t>Plus: Subcapitated/Block Purchase Expenses</t>
  </si>
  <si>
    <t>Less: CN1 Code 05 Encounters</t>
  </si>
  <si>
    <t>Net Medical Expense</t>
  </si>
  <si>
    <r>
      <t xml:space="preserve">Profit/(Loss) to be Reconciled  </t>
    </r>
    <r>
      <rPr>
        <sz val="8"/>
        <rFont val="Arial"/>
        <family val="2"/>
      </rPr>
      <t>= (Net Cap - Net Exp + RI Pmt)</t>
    </r>
  </si>
  <si>
    <t>Member Months</t>
  </si>
  <si>
    <t>payment will be included in the reconciliation.</t>
  </si>
  <si>
    <t>subject to AHCCCS cost settlement.</t>
  </si>
  <si>
    <t xml:space="preserve">   they represent the enhanced portion of a payment for PCP parity.</t>
  </si>
  <si>
    <t xml:space="preserve">5) The enhanced portion of a payment for PCP Parity that is subject to AHCCCS cost settlement will not be included in the reconciliation; the non-enhanced portion of the </t>
  </si>
  <si>
    <t>Medical Expense</t>
  </si>
  <si>
    <t>Less: Premium Tax Component</t>
  </si>
  <si>
    <t>Reinsurance (RI) Payments</t>
  </si>
  <si>
    <t>CRS TIERED RECONCILIATION - Example</t>
  </si>
  <si>
    <t>2) Expenses include fully adjudicated encounters for dates of service within the reconciliation time frame.</t>
  </si>
  <si>
    <t>Less:  Health Insurer Fee Capitation Adjustment</t>
  </si>
  <si>
    <t>Adjustment for PCP Parity Expenses</t>
  </si>
  <si>
    <t>Adjusted Net Profit (Loss) to be reconciled</t>
  </si>
  <si>
    <t>Net Capitation (Net of Admin Component, HIF Capitation Adj and Premium Tax Component)</t>
  </si>
  <si>
    <t>ACOM Policy 312 CYE 15 ONLY Attachment A</t>
  </si>
  <si>
    <t>FOR THE CONTRACT YEAR ENDED 9/30/15</t>
  </si>
  <si>
    <t>&lt;=1%</t>
  </si>
  <si>
    <t>x &gt; 1%</t>
  </si>
  <si>
    <t>ACOM Policy 312 CYE 15 Only, Attachment A</t>
  </si>
  <si>
    <t>Value-Based Purchasing Payment made to Providers Per Value-Based Purchasing Contract (CYE 16 and Forward)</t>
  </si>
  <si>
    <t>Less amounts previously paid with initial reconciliation</t>
  </si>
  <si>
    <t>Less amounts previously paid with initial reconciliations</t>
  </si>
  <si>
    <t>4) Administrative component is the Contractor awarded admin pmpm adjusted as deemed necessary by AHCCCS  times member months for the reconciliation period.</t>
  </si>
  <si>
    <t xml:space="preserve">6) Subcapitated expenses and Block Purchases are self reported from Quarterly Financial statements. These should not contain the enhanced portion of a payment for PCP Parity that is </t>
  </si>
  <si>
    <t xml:space="preserve">7) All encounters with CN 1 code of 05 have been excluded from this reconciliation, since these should either be included in the self reported subcapitated/block purchase expenses or </t>
  </si>
  <si>
    <t xml:space="preserve"> Less:  APSI Expenses (CYE 18)</t>
  </si>
  <si>
    <t>Net Capitation (Net of Admin Component, HIF Capitation Adj, APSI and Premium Tax Component)</t>
  </si>
  <si>
    <t>Net Capitation (Net of Admin Component, HIF Capitation Adj, APSI, and Premium Tax Component)</t>
  </si>
  <si>
    <t>Less:  APSI Expenses (CYE 18)</t>
  </si>
  <si>
    <r>
      <t xml:space="preserve">ACOM Policy 312 CYE 14 </t>
    </r>
    <r>
      <rPr>
        <b/>
        <sz val="10"/>
        <color indexed="10"/>
        <rFont val="Arial"/>
        <family val="2"/>
      </rPr>
      <t>THROUGH CYE 18</t>
    </r>
    <r>
      <rPr>
        <b/>
        <strike/>
        <sz val="10"/>
        <color indexed="10"/>
        <rFont val="Arial"/>
        <family val="2"/>
      </rPr>
      <t>,  CYE 16 and Forward</t>
    </r>
    <r>
      <rPr>
        <b/>
        <sz val="10"/>
        <rFont val="Arial"/>
        <family val="2"/>
      </rPr>
      <t>, Attachment A</t>
    </r>
  </si>
  <si>
    <r>
      <t>Less: Access to Professional Service</t>
    </r>
    <r>
      <rPr>
        <sz val="8"/>
        <color indexed="10"/>
        <rFont val="Arial"/>
        <family val="2"/>
      </rPr>
      <t>s</t>
    </r>
    <r>
      <rPr>
        <sz val="8"/>
        <rFont val="Arial"/>
        <family val="2"/>
      </rPr>
      <t xml:space="preserve"> Initative (APSI) </t>
    </r>
    <r>
      <rPr>
        <sz val="8"/>
        <color indexed="10"/>
        <rFont val="Arial"/>
        <family val="2"/>
      </rPr>
      <t xml:space="preserve">Capitation </t>
    </r>
    <r>
      <rPr>
        <sz val="8"/>
        <rFont val="Arial"/>
        <family val="2"/>
      </rPr>
      <t>(CYE 18)</t>
    </r>
  </si>
  <si>
    <r>
      <t xml:space="preserve">    payment will be included in the reconciliation. </t>
    </r>
    <r>
      <rPr>
        <sz val="10"/>
        <color indexed="10"/>
        <rFont val="Arial"/>
        <family val="2"/>
      </rPr>
      <t>The enhanced portion of a payment due to APSI is not included in the reconciliation.</t>
    </r>
  </si>
  <si>
    <t>ACOM Policy 312 CYE 14 THROUGH CYE 18, Attachment A</t>
  </si>
  <si>
    <t>Less: Access to Professional Services Initative (APSI) Capitation (CYE 18)</t>
  </si>
  <si>
    <t>payment will be included in the reconciliation. The enhanced portion of a payment due to APSI is not included in the reconciliation.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</si>
</sst>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_);[Red]\(0.00\)"/>
    <numFmt numFmtId="166" formatCode="_(&quot;$&quot;* #,##0_);_(&quot;$&quot;* \(#,##0\);_(&quot;$&quot;* &quot;-&quot;??_);_(@_)"/>
    <numFmt numFmtId="167" formatCode="&quot;$&quot;#,##0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_);_(&quot;$&quot;* \(#,##0.000\);_(&quot;$&quot;* &quot;-&quot;?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_(* #,##0.0_);_(* \(#,##0.0\);_(* &quot;-&quot;??_);_(@_)"/>
    <numFmt numFmtId="183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0" xfId="59" applyFont="1" applyBorder="1" applyAlignment="1">
      <alignment/>
    </xf>
    <xf numFmtId="167" fontId="4" fillId="0" borderId="0" xfId="44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0" fillId="0" borderId="14" xfId="0" applyFont="1" applyFill="1" applyBorder="1" applyAlignment="1">
      <alignment/>
    </xf>
    <xf numFmtId="0" fontId="1" fillId="0" borderId="0" xfId="0" applyFont="1" applyAlignment="1">
      <alignment/>
    </xf>
    <xf numFmtId="165" fontId="3" fillId="0" borderId="13" xfId="0" applyNumberFormat="1" applyFont="1" applyBorder="1" applyAlignment="1">
      <alignment horizontal="center" wrapText="1"/>
    </xf>
    <xf numFmtId="9" fontId="1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Fill="1" applyAlignment="1" quotePrefix="1">
      <alignment horizontal="centerContinuous"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44" fontId="3" fillId="0" borderId="0" xfId="0" applyNumberFormat="1" applyFont="1" applyAlignment="1">
      <alignment/>
    </xf>
    <xf numFmtId="44" fontId="3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44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44" fontId="1" fillId="0" borderId="17" xfId="0" applyNumberFormat="1" applyFont="1" applyBorder="1" applyAlignment="1">
      <alignment/>
    </xf>
    <xf numFmtId="10" fontId="1" fillId="0" borderId="0" xfId="59" applyNumberFormat="1" applyFont="1" applyAlignment="1">
      <alignment/>
    </xf>
    <xf numFmtId="10" fontId="1" fillId="0" borderId="0" xfId="59" applyNumberFormat="1" applyFont="1" applyBorder="1" applyAlignment="1">
      <alignment/>
    </xf>
    <xf numFmtId="183" fontId="1" fillId="0" borderId="0" xfId="59" applyNumberFormat="1" applyFont="1" applyAlignment="1">
      <alignment/>
    </xf>
    <xf numFmtId="44" fontId="1" fillId="0" borderId="0" xfId="59" applyNumberFormat="1" applyFont="1" applyBorder="1" applyAlignment="1">
      <alignment/>
    </xf>
    <xf numFmtId="44" fontId="1" fillId="0" borderId="18" xfId="59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59" applyNumberFormat="1" applyFont="1" applyAlignment="1">
      <alignment/>
    </xf>
    <xf numFmtId="43" fontId="1" fillId="0" borderId="0" xfId="0" applyNumberFormat="1" applyFont="1" applyAlignment="1">
      <alignment/>
    </xf>
    <xf numFmtId="44" fontId="1" fillId="0" borderId="0" xfId="44" applyFont="1" applyBorder="1" applyAlignment="1">
      <alignment/>
    </xf>
    <xf numFmtId="0" fontId="1" fillId="0" borderId="0" xfId="0" applyFont="1" applyBorder="1" applyAlignment="1" quotePrefix="1">
      <alignment horizontal="left"/>
    </xf>
    <xf numFmtId="183" fontId="1" fillId="0" borderId="0" xfId="42" applyNumberFormat="1" applyFont="1" applyAlignment="1">
      <alignment/>
    </xf>
    <xf numFmtId="171" fontId="1" fillId="0" borderId="0" xfId="44" applyNumberFormat="1" applyFont="1" applyAlignment="1">
      <alignment/>
    </xf>
    <xf numFmtId="44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44" fontId="1" fillId="0" borderId="1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59" applyFont="1" applyBorder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44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Fill="1" applyAlignment="1" quotePrefix="1">
      <alignment horizontal="centerContinuous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3" fontId="0" fillId="0" borderId="0" xfId="42" applyNumberFormat="1" applyFont="1" applyAlignment="1">
      <alignment/>
    </xf>
    <xf numFmtId="4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uarial\Acute\CY12%20Cap%20Development\Cognos\Recons\2010\ProsRecon2010%20w%20Upd%20RI%20and%20Admin%20@%20bid%20Dynamic%20TX%20Model%20Rev%2007-14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s"/>
      <sheetName val="Condensed Summary"/>
      <sheetName val="Admin %"/>
      <sheetName val="Overall Summary"/>
      <sheetName val="APIPASummary"/>
      <sheetName val="APIPADetail"/>
      <sheetName val="Care1stSummary"/>
      <sheetName val="Care1stDetail"/>
      <sheetName val="BridgewaySummary"/>
      <sheetName val="BridgewayDetail"/>
      <sheetName val="HCASummary"/>
      <sheetName val="HCADetail"/>
      <sheetName val="MaricopaSummary"/>
      <sheetName val="MaricopaDetail"/>
      <sheetName val="MercySummary"/>
      <sheetName val="MercyDetail"/>
      <sheetName val="PHPSummary"/>
      <sheetName val="PHPDetail"/>
      <sheetName val="PimaSummary"/>
      <sheetName val="PimaDetail"/>
      <sheetName val="UFCSummary"/>
      <sheetName val="UFCDetail"/>
    </sheetNames>
    <sheetDataSet>
      <sheetData sheetId="1">
        <row r="4">
          <cell r="B4">
            <v>0.02</v>
          </cell>
        </row>
        <row r="6">
          <cell r="B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1">
      <selection activeCell="A74" sqref="A74"/>
    </sheetView>
  </sheetViews>
  <sheetFormatPr defaultColWidth="17.7109375" defaultRowHeight="12.75"/>
  <cols>
    <col min="1" max="1" width="67.421875" style="22" customWidth="1"/>
    <col min="2" max="5" width="17.8515625" style="22" bestFit="1" customWidth="1"/>
    <col min="6" max="6" width="18.140625" style="22" bestFit="1" customWidth="1"/>
    <col min="7" max="7" width="17.8515625" style="22" bestFit="1" customWidth="1"/>
    <col min="8" max="16384" width="17.7109375" style="22" customWidth="1"/>
  </cols>
  <sheetData>
    <row r="1" spans="1:6" s="80" customFormat="1" ht="12.75">
      <c r="A1" s="104" t="s">
        <v>68</v>
      </c>
      <c r="B1" s="104"/>
      <c r="C1" s="104"/>
      <c r="D1" s="104"/>
      <c r="E1" s="104"/>
      <c r="F1" s="104"/>
    </row>
    <row r="2" spans="1:6" s="80" customFormat="1" ht="12.75">
      <c r="A2" s="15" t="s">
        <v>47</v>
      </c>
      <c r="B2" s="81"/>
      <c r="C2" s="81"/>
      <c r="D2" s="81"/>
      <c r="E2" s="81"/>
      <c r="F2" s="81"/>
    </row>
    <row r="3" spans="1:13" s="80" customFormat="1" ht="12.75">
      <c r="A3" s="82" t="s">
        <v>12</v>
      </c>
      <c r="B3" s="83"/>
      <c r="C3" s="83"/>
      <c r="D3" s="83"/>
      <c r="E3" s="83"/>
      <c r="F3" s="83"/>
      <c r="G3" s="84"/>
      <c r="H3" s="84"/>
      <c r="I3" s="84"/>
      <c r="J3" s="84"/>
      <c r="K3" s="85"/>
      <c r="L3" s="85"/>
      <c r="M3" s="85"/>
    </row>
    <row r="4" spans="2:13" s="80" customFormat="1" ht="12.75">
      <c r="B4" s="83"/>
      <c r="C4" s="83"/>
      <c r="E4" s="83"/>
      <c r="F4" s="83"/>
      <c r="G4" s="84"/>
      <c r="H4" s="84"/>
      <c r="I4" s="84"/>
      <c r="J4" s="84"/>
      <c r="K4" s="85"/>
      <c r="L4" s="85"/>
      <c r="M4" s="85"/>
    </row>
    <row r="5" spans="1:13" s="80" customFormat="1" ht="12.75">
      <c r="A5" s="15"/>
      <c r="B5" s="15"/>
      <c r="C5" s="86"/>
      <c r="D5" s="15"/>
      <c r="E5" s="15"/>
      <c r="F5" s="15"/>
      <c r="G5" s="87"/>
      <c r="H5" s="87"/>
      <c r="I5" s="87"/>
      <c r="J5" s="87"/>
      <c r="K5" s="85"/>
      <c r="L5" s="85"/>
      <c r="M5" s="85"/>
    </row>
    <row r="6" spans="1:10" ht="11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8" ht="12" thickBot="1"/>
    <row r="9" spans="1:10" ht="34.5" thickBot="1">
      <c r="A9" s="3"/>
      <c r="B9" s="23" t="s">
        <v>24</v>
      </c>
      <c r="C9" s="23" t="s">
        <v>25</v>
      </c>
      <c r="D9" s="23" t="s">
        <v>26</v>
      </c>
      <c r="E9" s="23" t="s">
        <v>22</v>
      </c>
      <c r="F9" s="23" t="s">
        <v>21</v>
      </c>
      <c r="G9" s="5"/>
      <c r="H9" s="6"/>
      <c r="I9" s="5"/>
      <c r="J9" s="5"/>
    </row>
    <row r="10" spans="1:10" ht="11.25">
      <c r="A10" s="4"/>
      <c r="B10" s="5"/>
      <c r="C10" s="5"/>
      <c r="D10" s="5"/>
      <c r="E10" s="5"/>
      <c r="F10" s="5"/>
      <c r="G10" s="5"/>
      <c r="H10" s="6"/>
      <c r="I10" s="5"/>
      <c r="J10" s="5"/>
    </row>
    <row r="11" spans="1:10" ht="11.25">
      <c r="A11" s="4" t="s">
        <v>31</v>
      </c>
      <c r="B11" s="5"/>
      <c r="C11" s="5"/>
      <c r="D11" s="5"/>
      <c r="E11" s="5"/>
      <c r="F11" s="5"/>
      <c r="G11" s="5"/>
      <c r="H11" s="6"/>
      <c r="I11" s="5"/>
      <c r="J11" s="5"/>
    </row>
    <row r="12" spans="1:10" ht="11.25">
      <c r="A12" s="28" t="s">
        <v>31</v>
      </c>
      <c r="B12" s="38">
        <v>58400000</v>
      </c>
      <c r="C12" s="38">
        <v>28400000</v>
      </c>
      <c r="D12" s="38">
        <v>33400000</v>
      </c>
      <c r="E12" s="38">
        <v>15000000</v>
      </c>
      <c r="F12" s="38">
        <f>SUM(B12:E12)</f>
        <v>135200000</v>
      </c>
      <c r="G12" s="39"/>
      <c r="H12" s="39"/>
      <c r="I12" s="39"/>
      <c r="J12" s="39"/>
    </row>
    <row r="13" spans="1:10" ht="11.25">
      <c r="A13" s="29" t="s">
        <v>32</v>
      </c>
      <c r="B13" s="38">
        <v>5032072.966070779</v>
      </c>
      <c r="C13" s="38">
        <v>2737760</v>
      </c>
      <c r="D13" s="38">
        <v>2672000</v>
      </c>
      <c r="E13" s="38">
        <v>1446000</v>
      </c>
      <c r="F13" s="38">
        <f aca="true" t="shared" si="0" ref="F13:F23">SUM(B13:E13)</f>
        <v>11887832.966070779</v>
      </c>
      <c r="G13" s="39"/>
      <c r="H13" s="39"/>
      <c r="I13" s="39"/>
      <c r="J13" s="39"/>
    </row>
    <row r="14" spans="1:10" ht="11.25">
      <c r="A14" s="29" t="s">
        <v>49</v>
      </c>
      <c r="B14" s="38">
        <v>700800</v>
      </c>
      <c r="C14" s="38">
        <v>340800</v>
      </c>
      <c r="D14" s="38">
        <v>400800</v>
      </c>
      <c r="E14" s="38">
        <v>180000</v>
      </c>
      <c r="F14" s="38">
        <f t="shared" si="0"/>
        <v>1622400</v>
      </c>
      <c r="G14" s="39"/>
      <c r="H14" s="39"/>
      <c r="I14" s="39"/>
      <c r="J14" s="39"/>
    </row>
    <row r="15" spans="1:10" ht="11.25">
      <c r="A15" s="28" t="s">
        <v>69</v>
      </c>
      <c r="B15" s="38">
        <v>4672000</v>
      </c>
      <c r="C15" s="38">
        <v>2272000</v>
      </c>
      <c r="D15" s="38">
        <v>2672000</v>
      </c>
      <c r="E15" s="38">
        <v>1200000</v>
      </c>
      <c r="F15" s="38">
        <f t="shared" si="0"/>
        <v>10816000</v>
      </c>
      <c r="G15" s="39"/>
      <c r="H15" s="39"/>
      <c r="I15" s="39"/>
      <c r="J15" s="39"/>
    </row>
    <row r="16" spans="1:12" ht="11.25">
      <c r="A16" s="28" t="s">
        <v>45</v>
      </c>
      <c r="B16" s="40">
        <f>B12*0.02</f>
        <v>1168000</v>
      </c>
      <c r="C16" s="40">
        <f>C12*0.02</f>
        <v>568000</v>
      </c>
      <c r="D16" s="40">
        <f>D12*0.02</f>
        <v>668000</v>
      </c>
      <c r="E16" s="40">
        <f>E12*0.02</f>
        <v>300000</v>
      </c>
      <c r="F16" s="40">
        <f t="shared" si="0"/>
        <v>2704000</v>
      </c>
      <c r="G16" s="39"/>
      <c r="H16" s="39"/>
      <c r="I16" s="39"/>
      <c r="J16" s="39"/>
      <c r="L16" s="38"/>
    </row>
    <row r="17" spans="1:10" ht="11.25">
      <c r="A17" s="16" t="s">
        <v>33</v>
      </c>
      <c r="B17" s="30">
        <f>B12-SUM(B13:B16)</f>
        <v>46827127.03392922</v>
      </c>
      <c r="C17" s="30">
        <f>C12-SUM(C13:C16)</f>
        <v>22481440</v>
      </c>
      <c r="D17" s="30">
        <f>D12-SUM(D13:D16)</f>
        <v>26987200</v>
      </c>
      <c r="E17" s="30">
        <f>E12-SUM(E13:E16)</f>
        <v>11874000</v>
      </c>
      <c r="F17" s="30">
        <f>F12-SUM(F13:F16)</f>
        <v>108169767.03392923</v>
      </c>
      <c r="G17" s="39"/>
      <c r="H17" s="39"/>
      <c r="I17" s="39"/>
      <c r="J17" s="39"/>
    </row>
    <row r="18" spans="1:10" ht="11.25">
      <c r="A18" s="16"/>
      <c r="B18" s="30"/>
      <c r="C18" s="30"/>
      <c r="D18" s="30"/>
      <c r="E18" s="30"/>
      <c r="F18" s="30"/>
      <c r="G18" s="39"/>
      <c r="H18" s="39"/>
      <c r="I18" s="39"/>
      <c r="J18" s="39"/>
    </row>
    <row r="19" spans="1:10" ht="11.25">
      <c r="A19" s="16" t="s">
        <v>34</v>
      </c>
      <c r="B19" s="38"/>
      <c r="C19" s="38"/>
      <c r="D19" s="38"/>
      <c r="E19" s="38"/>
      <c r="F19" s="38"/>
      <c r="G19" s="39"/>
      <c r="H19" s="39"/>
      <c r="I19" s="39"/>
      <c r="J19" s="39"/>
    </row>
    <row r="20" spans="1:12" ht="11.25">
      <c r="A20" s="28" t="s">
        <v>44</v>
      </c>
      <c r="B20" s="38">
        <f>52615000</f>
        <v>52615000</v>
      </c>
      <c r="C20" s="38">
        <v>22000000</v>
      </c>
      <c r="D20" s="38">
        <v>30000000</v>
      </c>
      <c r="E20" s="38">
        <v>12000000</v>
      </c>
      <c r="F20" s="38">
        <f t="shared" si="0"/>
        <v>116615000</v>
      </c>
      <c r="G20" s="39"/>
      <c r="H20" s="39"/>
      <c r="I20" s="39"/>
      <c r="J20" s="39"/>
      <c r="L20" s="38"/>
    </row>
    <row r="21" spans="1:10" ht="11.25">
      <c r="A21" s="28" t="s">
        <v>35</v>
      </c>
      <c r="B21" s="38">
        <v>1000000</v>
      </c>
      <c r="C21" s="38">
        <v>750000</v>
      </c>
      <c r="D21" s="38">
        <v>600000</v>
      </c>
      <c r="E21" s="38">
        <v>750000</v>
      </c>
      <c r="F21" s="38">
        <f t="shared" si="0"/>
        <v>3100000</v>
      </c>
      <c r="G21" s="39"/>
      <c r="H21" s="39"/>
      <c r="I21" s="39"/>
      <c r="J21" s="39"/>
    </row>
    <row r="22" spans="1:10" ht="11.25">
      <c r="A22" s="28" t="s">
        <v>64</v>
      </c>
      <c r="B22" s="38">
        <f>B15*0.3</f>
        <v>1401600</v>
      </c>
      <c r="C22" s="38">
        <f>C15*0.3</f>
        <v>681600</v>
      </c>
      <c r="D22" s="38">
        <f>D15*0.3</f>
        <v>801600</v>
      </c>
      <c r="E22" s="38">
        <f>E15*0.3</f>
        <v>360000</v>
      </c>
      <c r="F22" s="38">
        <f t="shared" si="0"/>
        <v>3244800</v>
      </c>
      <c r="G22" s="39"/>
      <c r="H22" s="39"/>
      <c r="I22" s="39"/>
      <c r="J22" s="39"/>
    </row>
    <row r="23" spans="1:10" ht="11.25">
      <c r="A23" s="28" t="s">
        <v>36</v>
      </c>
      <c r="B23" s="40">
        <v>0</v>
      </c>
      <c r="C23" s="40">
        <v>20000</v>
      </c>
      <c r="D23" s="40">
        <v>25000</v>
      </c>
      <c r="E23" s="40">
        <v>1500</v>
      </c>
      <c r="F23" s="40">
        <f t="shared" si="0"/>
        <v>46500</v>
      </c>
      <c r="G23" s="39"/>
      <c r="H23" s="39"/>
      <c r="I23" s="39"/>
      <c r="J23" s="39"/>
    </row>
    <row r="24" spans="1:10" ht="11.25">
      <c r="A24" s="16" t="s">
        <v>37</v>
      </c>
      <c r="B24" s="30">
        <f>+B20+B21-B23-B22</f>
        <v>52213400</v>
      </c>
      <c r="C24" s="30">
        <f>+C20+C21-C23-C22</f>
        <v>22048400</v>
      </c>
      <c r="D24" s="30">
        <f>+D20+D21-D23-D22</f>
        <v>29773400</v>
      </c>
      <c r="E24" s="30">
        <f>+E20+E21-E23-E22</f>
        <v>12388500</v>
      </c>
      <c r="F24" s="30">
        <f>+F20+F21-F23-F22</f>
        <v>116423700</v>
      </c>
      <c r="G24" s="39"/>
      <c r="H24" s="39"/>
      <c r="I24" s="39"/>
      <c r="J24" s="39"/>
    </row>
    <row r="25" spans="1:10" ht="11.25">
      <c r="A25" s="7"/>
      <c r="B25" s="38"/>
      <c r="C25" s="38"/>
      <c r="D25" s="38"/>
      <c r="E25" s="38"/>
      <c r="F25" s="38"/>
      <c r="G25" s="39"/>
      <c r="H25" s="39"/>
      <c r="I25" s="39"/>
      <c r="J25" s="39"/>
    </row>
    <row r="26" spans="1:10" ht="11.25">
      <c r="A26" s="16" t="s">
        <v>46</v>
      </c>
      <c r="B26" s="38">
        <v>3844400</v>
      </c>
      <c r="C26" s="38">
        <v>1869500</v>
      </c>
      <c r="D26" s="38">
        <v>2198700</v>
      </c>
      <c r="E26" s="38">
        <v>987400</v>
      </c>
      <c r="F26" s="38">
        <f>SUM(B26:E26)</f>
        <v>8900000</v>
      </c>
      <c r="G26" s="39"/>
      <c r="H26" s="39"/>
      <c r="I26" s="39"/>
      <c r="J26" s="39"/>
    </row>
    <row r="27" spans="1:10" ht="12" thickBot="1">
      <c r="A27" s="7"/>
      <c r="B27" s="38"/>
      <c r="C27" s="38"/>
      <c r="D27" s="38"/>
      <c r="E27" s="38"/>
      <c r="F27" s="38"/>
      <c r="G27" s="39"/>
      <c r="H27" s="39"/>
      <c r="I27" s="39"/>
      <c r="J27" s="39"/>
    </row>
    <row r="28" spans="1:10" ht="12" thickBot="1">
      <c r="A28" s="17" t="s">
        <v>38</v>
      </c>
      <c r="B28" s="31">
        <f>+B17-B24+B26</f>
        <v>-1541872.9660707787</v>
      </c>
      <c r="C28" s="31">
        <f>+C17-C24+C26</f>
        <v>2302540</v>
      </c>
      <c r="D28" s="31">
        <f>+D17-D24+D26</f>
        <v>-587500</v>
      </c>
      <c r="E28" s="31">
        <f>+E17-E24+E26</f>
        <v>472900</v>
      </c>
      <c r="F28" s="31">
        <f>+F17-F24+F26</f>
        <v>646067.0339292288</v>
      </c>
      <c r="G28" s="39"/>
      <c r="H28" s="39"/>
      <c r="I28" s="39"/>
      <c r="J28" s="39"/>
    </row>
    <row r="29" spans="1:10" ht="11.25">
      <c r="A29" s="16" t="s">
        <v>14</v>
      </c>
      <c r="B29" s="41">
        <f>B28/B17</f>
        <v>-0.03292691787291571</v>
      </c>
      <c r="C29" s="41">
        <f>C28/C17</f>
        <v>0.10241959589777168</v>
      </c>
      <c r="D29" s="41">
        <f>D28/D17</f>
        <v>-0.021769579652576036</v>
      </c>
      <c r="E29" s="41">
        <f>E28/E17</f>
        <v>0.03982651170624895</v>
      </c>
      <c r="F29" s="41">
        <f>F28/F17</f>
        <v>0.005972713556150853</v>
      </c>
      <c r="G29" s="42"/>
      <c r="H29" s="42"/>
      <c r="I29" s="42"/>
      <c r="J29" s="42"/>
    </row>
    <row r="30" spans="1:10" ht="11.25">
      <c r="A30" s="22" t="s">
        <v>39</v>
      </c>
      <c r="B30" s="43">
        <v>200000</v>
      </c>
      <c r="C30" s="43">
        <v>2000</v>
      </c>
      <c r="D30" s="43">
        <v>75000</v>
      </c>
      <c r="E30" s="43">
        <v>15000</v>
      </c>
      <c r="F30" s="43">
        <f>+SUM(B30:E30)</f>
        <v>292000</v>
      </c>
      <c r="G30" s="41"/>
      <c r="H30" s="41"/>
      <c r="I30" s="41"/>
      <c r="J30" s="41"/>
    </row>
    <row r="31" spans="2:10" ht="11.25">
      <c r="B31" s="43"/>
      <c r="C31" s="43"/>
      <c r="D31" s="43"/>
      <c r="E31" s="43"/>
      <c r="F31" s="43"/>
      <c r="G31" s="41"/>
      <c r="H31" s="41"/>
      <c r="I31" s="41"/>
      <c r="J31" s="41"/>
    </row>
    <row r="32" spans="1:10" ht="11.25">
      <c r="A32" s="7" t="s">
        <v>50</v>
      </c>
      <c r="B32" s="43"/>
      <c r="C32" s="43"/>
      <c r="D32" s="43"/>
      <c r="E32" s="43"/>
      <c r="F32" s="44">
        <v>500000</v>
      </c>
      <c r="G32" s="41"/>
      <c r="H32" s="41"/>
      <c r="I32" s="41"/>
      <c r="J32" s="41"/>
    </row>
    <row r="33" spans="1:10" ht="12" thickBot="1">
      <c r="A33" s="7" t="s">
        <v>51</v>
      </c>
      <c r="B33" s="43"/>
      <c r="C33" s="43"/>
      <c r="D33" s="43"/>
      <c r="E33" s="43"/>
      <c r="F33" s="45">
        <f>F28+F32</f>
        <v>1146067.0339292288</v>
      </c>
      <c r="G33" s="41"/>
      <c r="H33" s="41"/>
      <c r="I33" s="41"/>
      <c r="J33" s="41"/>
    </row>
    <row r="34" spans="1:10" ht="12" thickTop="1">
      <c r="A34" s="7"/>
      <c r="B34" s="38"/>
      <c r="C34" s="46"/>
      <c r="D34" s="47"/>
      <c r="E34" s="41"/>
      <c r="F34" s="41"/>
      <c r="G34" s="41"/>
      <c r="H34" s="41"/>
      <c r="I34" s="41"/>
      <c r="J34" s="41"/>
    </row>
    <row r="35" spans="1:10" ht="12" thickBot="1">
      <c r="A35" s="7"/>
      <c r="C35" s="48"/>
      <c r="J35" s="39"/>
    </row>
    <row r="36" spans="1:10" ht="12" thickBot="1">
      <c r="A36" s="8" t="s">
        <v>1</v>
      </c>
      <c r="J36" s="38"/>
    </row>
    <row r="37" spans="1:7" ht="11.25">
      <c r="A37" s="7"/>
      <c r="B37" s="49"/>
      <c r="C37" s="49"/>
      <c r="D37" s="42"/>
      <c r="F37" s="50"/>
      <c r="G37" s="50"/>
    </row>
    <row r="38" spans="1:3" ht="11.25">
      <c r="A38" s="22" t="s">
        <v>66</v>
      </c>
      <c r="B38" s="38">
        <f>F17</f>
        <v>108169767.03392923</v>
      </c>
      <c r="C38" s="51"/>
    </row>
    <row r="39" spans="1:3" ht="11.25">
      <c r="A39" s="22" t="s">
        <v>27</v>
      </c>
      <c r="B39" s="38">
        <f>F33</f>
        <v>1146067.0339292288</v>
      </c>
      <c r="C39" s="38"/>
    </row>
    <row r="40" spans="1:5" ht="11.25">
      <c r="A40" s="22" t="s">
        <v>14</v>
      </c>
      <c r="B40" s="41">
        <f>B39/B38</f>
        <v>0.010595077213855383</v>
      </c>
      <c r="C40" s="38"/>
      <c r="D40" s="38"/>
      <c r="E40" s="38"/>
    </row>
    <row r="41" spans="2:4" ht="11.25">
      <c r="B41" s="38"/>
      <c r="C41" s="38"/>
      <c r="D41" s="38"/>
    </row>
    <row r="42" spans="2:4" ht="11.25">
      <c r="B42" s="52"/>
      <c r="C42" s="38"/>
      <c r="D42" s="38"/>
    </row>
    <row r="43" ht="11.25">
      <c r="D43" s="38"/>
    </row>
    <row r="44" spans="1:5" ht="11.25">
      <c r="A44" s="7" t="s">
        <v>29</v>
      </c>
      <c r="B44" s="53">
        <f>IF(B39&gt;0,-SUM(E52:E56),-SUM(E61:E63))</f>
        <v>0</v>
      </c>
      <c r="D44" s="38"/>
      <c r="E44" s="38"/>
    </row>
    <row r="45" spans="1:5" ht="22.5">
      <c r="A45" s="95" t="s">
        <v>58</v>
      </c>
      <c r="B45" s="53">
        <v>50000</v>
      </c>
      <c r="D45" s="38"/>
      <c r="E45" s="38"/>
    </row>
    <row r="46" spans="1:4" ht="11.25">
      <c r="A46" s="7" t="s">
        <v>0</v>
      </c>
      <c r="B46" s="39">
        <f>(B44+B45)/0.98-(B44+B45)</f>
        <v>1020.4081632653106</v>
      </c>
      <c r="C46" s="54"/>
      <c r="D46" s="38"/>
    </row>
    <row r="47" spans="1:4" ht="11.25">
      <c r="A47" s="55" t="s">
        <v>59</v>
      </c>
      <c r="B47" s="39">
        <v>0</v>
      </c>
      <c r="C47" s="54"/>
      <c r="D47" s="38"/>
    </row>
    <row r="48" spans="1:2" ht="12" thickBot="1">
      <c r="A48" s="7" t="s">
        <v>28</v>
      </c>
      <c r="B48" s="56">
        <f>SUM(B44:B47)</f>
        <v>51020.40816326531</v>
      </c>
    </row>
    <row r="49" ht="12" thickTop="1"/>
    <row r="50" spans="2:9" ht="11.25">
      <c r="B50" s="38"/>
      <c r="C50" s="57"/>
      <c r="D50" s="57" t="s">
        <v>17</v>
      </c>
      <c r="E50" s="57"/>
      <c r="F50" s="57"/>
      <c r="G50" s="57"/>
      <c r="I50" s="58"/>
    </row>
    <row r="51" spans="1:9" ht="11.25">
      <c r="A51" s="22" t="s">
        <v>15</v>
      </c>
      <c r="B51" s="22" t="s">
        <v>2</v>
      </c>
      <c r="C51" s="57" t="s">
        <v>3</v>
      </c>
      <c r="D51" s="57" t="s">
        <v>18</v>
      </c>
      <c r="E51" s="57" t="s">
        <v>4</v>
      </c>
      <c r="F51" s="57"/>
      <c r="G51" s="57" t="s">
        <v>19</v>
      </c>
      <c r="I51" s="59"/>
    </row>
    <row r="52" spans="2:9" ht="11.25">
      <c r="B52" s="24" t="s">
        <v>16</v>
      </c>
      <c r="C52" s="60">
        <v>0</v>
      </c>
      <c r="D52" s="61">
        <f>IF(G52&lt;=0,0,IF($B$38*0.03&gt;G52,G52,$B$38*0.03))</f>
        <v>1146067.0339292288</v>
      </c>
      <c r="E52" s="61">
        <f>+C52*D52</f>
        <v>0</v>
      </c>
      <c r="G52" s="62">
        <f>+IF(B39&lt;0,0,B39)</f>
        <v>1146067.0339292288</v>
      </c>
      <c r="H52" s="62"/>
      <c r="I52" s="61"/>
    </row>
    <row r="53" spans="2:9" ht="11.25">
      <c r="B53" s="24" t="s">
        <v>9</v>
      </c>
      <c r="C53" s="60">
        <v>0.5</v>
      </c>
      <c r="D53" s="61">
        <f>IF(G53&lt;=0,0,IF($B$38*0.03&gt;G53,G53,$B$38*0.03))</f>
        <v>0</v>
      </c>
      <c r="E53" s="61">
        <f>+C53*D53</f>
        <v>0</v>
      </c>
      <c r="G53" s="62">
        <f>+G52-D52</f>
        <v>0</v>
      </c>
      <c r="H53" s="62"/>
      <c r="I53" s="61"/>
    </row>
    <row r="54" spans="2:9" ht="11.25">
      <c r="B54" s="24" t="s">
        <v>10</v>
      </c>
      <c r="C54" s="60">
        <v>1</v>
      </c>
      <c r="D54" s="61">
        <f>IF(G54&lt;=0,0,IF($B$38*0.94&gt;G54,G54,$B$38*0.94))</f>
        <v>0</v>
      </c>
      <c r="E54" s="61">
        <f>+C54*D54</f>
        <v>0</v>
      </c>
      <c r="G54" s="62">
        <f>+G53-D53</f>
        <v>0</v>
      </c>
      <c r="H54" s="52"/>
      <c r="I54" s="61"/>
    </row>
    <row r="55" spans="2:9" ht="11.25">
      <c r="B55" s="24"/>
      <c r="C55" s="60"/>
      <c r="D55" s="61"/>
      <c r="E55" s="61"/>
      <c r="G55" s="62"/>
      <c r="H55" s="62"/>
      <c r="I55" s="61"/>
    </row>
    <row r="56" spans="2:9" ht="11.25">
      <c r="B56" s="24"/>
      <c r="C56" s="60"/>
      <c r="D56" s="61"/>
      <c r="E56" s="61"/>
      <c r="G56" s="62"/>
      <c r="H56" s="62"/>
      <c r="I56" s="61"/>
    </row>
    <row r="57" spans="2:5" ht="11.25">
      <c r="B57" s="24"/>
      <c r="C57" s="24"/>
      <c r="E57" s="62"/>
    </row>
    <row r="59" spans="2:9" ht="11.25">
      <c r="B59" s="38"/>
      <c r="C59" s="57"/>
      <c r="D59" s="57" t="s">
        <v>5</v>
      </c>
      <c r="E59" s="57"/>
      <c r="F59" s="57"/>
      <c r="G59" s="57"/>
      <c r="I59" s="63"/>
    </row>
    <row r="60" spans="1:9" ht="11.25">
      <c r="A60" s="22" t="s">
        <v>15</v>
      </c>
      <c r="B60" s="22" t="s">
        <v>6</v>
      </c>
      <c r="C60" s="57" t="s">
        <v>3</v>
      </c>
      <c r="D60" s="57" t="s">
        <v>7</v>
      </c>
      <c r="E60" s="57" t="s">
        <v>8</v>
      </c>
      <c r="F60" s="57"/>
      <c r="G60" s="57" t="s">
        <v>19</v>
      </c>
      <c r="I60" s="63"/>
    </row>
    <row r="61" spans="2:9" ht="11.25">
      <c r="B61" s="24" t="s">
        <v>16</v>
      </c>
      <c r="C61" s="60">
        <v>0</v>
      </c>
      <c r="D61" s="61">
        <f>IF(G61&gt;0,0,IF(-$B$38*0.03&lt;G61,G61,-$B$38*0.03))</f>
        <v>0</v>
      </c>
      <c r="E61" s="61">
        <f>+D61*C61</f>
        <v>0</v>
      </c>
      <c r="G61" s="62">
        <f>+IF(B39&gt;0,0,B39)</f>
        <v>0</v>
      </c>
      <c r="H61" s="62"/>
      <c r="I61" s="61"/>
    </row>
    <row r="62" spans="2:9" ht="11.25">
      <c r="B62" s="24" t="s">
        <v>23</v>
      </c>
      <c r="C62" s="60">
        <v>1</v>
      </c>
      <c r="D62" s="61">
        <f>IF(G62&gt;0,0,IF(-$B$38*0.97&lt;G62,G62,-$B$38*0.97))</f>
        <v>0</v>
      </c>
      <c r="E62" s="61">
        <f>+D62*C62</f>
        <v>0</v>
      </c>
      <c r="G62" s="62">
        <f>+G61-D61</f>
        <v>0</v>
      </c>
      <c r="H62" s="62"/>
      <c r="I62" s="61"/>
    </row>
    <row r="63" spans="2:9" ht="11.25">
      <c r="B63" s="24"/>
      <c r="C63" s="60"/>
      <c r="D63" s="61"/>
      <c r="E63" s="61"/>
      <c r="G63" s="62"/>
      <c r="H63" s="62"/>
      <c r="I63" s="61"/>
    </row>
    <row r="64" spans="2:8" ht="11.25">
      <c r="B64" s="24"/>
      <c r="C64" s="60"/>
      <c r="D64" s="61"/>
      <c r="E64" s="61"/>
      <c r="H64" s="62"/>
    </row>
    <row r="65" spans="2:8" ht="11.25">
      <c r="B65" s="24"/>
      <c r="C65" s="60"/>
      <c r="D65" s="61"/>
      <c r="E65" s="61"/>
      <c r="H65" s="62"/>
    </row>
    <row r="66" ht="12" thickBot="1"/>
    <row r="67" spans="1:8" ht="11.25">
      <c r="A67" s="13" t="s">
        <v>11</v>
      </c>
      <c r="B67" s="64"/>
      <c r="C67" s="64"/>
      <c r="D67" s="64"/>
      <c r="E67" s="64"/>
      <c r="F67" s="64"/>
      <c r="G67" s="64"/>
      <c r="H67" s="65"/>
    </row>
    <row r="68" spans="1:8" ht="11.25">
      <c r="A68" s="66"/>
      <c r="B68" s="58"/>
      <c r="C68" s="58"/>
      <c r="D68" s="58"/>
      <c r="E68" s="58"/>
      <c r="F68" s="58"/>
      <c r="G68" s="58"/>
      <c r="H68" s="67"/>
    </row>
    <row r="69" spans="1:8" ht="11.25">
      <c r="A69" s="68" t="s">
        <v>20</v>
      </c>
      <c r="B69" s="69"/>
      <c r="C69" s="69"/>
      <c r="D69" s="69"/>
      <c r="E69" s="69"/>
      <c r="F69" s="69"/>
      <c r="G69" s="69"/>
      <c r="H69" s="67"/>
    </row>
    <row r="70" spans="1:8" ht="11.25">
      <c r="A70" s="68" t="s">
        <v>48</v>
      </c>
      <c r="B70" s="69"/>
      <c r="C70" s="69"/>
      <c r="D70" s="69"/>
      <c r="E70" s="69"/>
      <c r="F70" s="69"/>
      <c r="G70" s="69"/>
      <c r="H70" s="67"/>
    </row>
    <row r="71" spans="1:8" ht="11.25">
      <c r="A71" s="68" t="s">
        <v>30</v>
      </c>
      <c r="B71" s="69"/>
      <c r="C71" s="69"/>
      <c r="D71" s="69"/>
      <c r="E71" s="69"/>
      <c r="F71" s="69"/>
      <c r="G71" s="69"/>
      <c r="H71" s="67"/>
    </row>
    <row r="72" spans="1:8" ht="11.25">
      <c r="A72" s="68" t="s">
        <v>61</v>
      </c>
      <c r="B72" s="69"/>
      <c r="C72" s="69"/>
      <c r="D72" s="69"/>
      <c r="E72" s="69"/>
      <c r="F72" s="69"/>
      <c r="G72" s="69"/>
      <c r="H72" s="67"/>
    </row>
    <row r="73" spans="1:8" ht="11.25">
      <c r="A73" s="70" t="s">
        <v>43</v>
      </c>
      <c r="B73" s="71"/>
      <c r="C73" s="71"/>
      <c r="D73" s="71"/>
      <c r="E73" s="71"/>
      <c r="F73" s="71"/>
      <c r="G73" s="71"/>
      <c r="H73" s="72"/>
    </row>
    <row r="74" spans="1:8" ht="12.75">
      <c r="A74" s="70" t="s">
        <v>70</v>
      </c>
      <c r="B74" s="58"/>
      <c r="C74" s="58"/>
      <c r="D74" s="58"/>
      <c r="E74" s="58"/>
      <c r="F74" s="58"/>
      <c r="G74" s="58"/>
      <c r="H74" s="67"/>
    </row>
    <row r="75" spans="1:8" ht="11.25">
      <c r="A75" s="66" t="s">
        <v>62</v>
      </c>
      <c r="B75" s="69"/>
      <c r="C75" s="69"/>
      <c r="D75" s="69"/>
      <c r="E75" s="69"/>
      <c r="F75" s="69"/>
      <c r="G75" s="69"/>
      <c r="H75" s="67"/>
    </row>
    <row r="76" spans="1:8" ht="11.25">
      <c r="A76" s="73" t="s">
        <v>41</v>
      </c>
      <c r="B76" s="69"/>
      <c r="C76" s="69"/>
      <c r="D76" s="69"/>
      <c r="E76" s="69"/>
      <c r="F76" s="69"/>
      <c r="G76" s="69"/>
      <c r="H76" s="67"/>
    </row>
    <row r="77" spans="1:8" ht="11.25">
      <c r="A77" s="74" t="s">
        <v>63</v>
      </c>
      <c r="B77" s="75"/>
      <c r="C77" s="75"/>
      <c r="D77" s="75"/>
      <c r="E77" s="75"/>
      <c r="F77" s="75"/>
      <c r="G77" s="75"/>
      <c r="H77" s="76"/>
    </row>
    <row r="78" spans="1:8" ht="12" thickBot="1">
      <c r="A78" s="77" t="s">
        <v>42</v>
      </c>
      <c r="B78" s="78"/>
      <c r="C78" s="78"/>
      <c r="D78" s="78"/>
      <c r="E78" s="78"/>
      <c r="F78" s="78"/>
      <c r="G78" s="78"/>
      <c r="H78" s="79"/>
    </row>
  </sheetData>
  <sheetProtection/>
  <mergeCells count="2">
    <mergeCell ref="A6:J6"/>
    <mergeCell ref="A1:F1"/>
  </mergeCells>
  <printOptions/>
  <pageMargins left="0.75" right="0.75" top="1" bottom="1" header="0.5" footer="0.5"/>
  <pageSetup fitToHeight="1" fitToWidth="1" horizontalDpi="600" verticalDpi="600" orientation="landscape" scale="55" r:id="rId1"/>
  <headerFooter alignWithMargins="0">
    <oddHeader>&amp;C&amp;"Arial,Bold"Attachment A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Layout" zoomScale="70" zoomScalePageLayoutView="70" workbookViewId="0" topLeftCell="A1">
      <selection activeCell="A1" sqref="A1:F1"/>
    </sheetView>
  </sheetViews>
  <sheetFormatPr defaultColWidth="9.140625" defaultRowHeight="12.75"/>
  <cols>
    <col min="1" max="1" width="60.8515625" style="22" customWidth="1"/>
    <col min="2" max="2" width="15.140625" style="22" customWidth="1"/>
    <col min="3" max="3" width="18.140625" style="22" bestFit="1" customWidth="1"/>
    <col min="4" max="4" width="15.57421875" style="22" bestFit="1" customWidth="1"/>
    <col min="5" max="5" width="13.00390625" style="22" customWidth="1"/>
    <col min="6" max="6" width="13.8515625" style="22" bestFit="1" customWidth="1"/>
    <col min="7" max="7" width="13.00390625" style="22" customWidth="1"/>
    <col min="8" max="8" width="15.7109375" style="22" customWidth="1"/>
    <col min="9" max="9" width="13.8515625" style="22" bestFit="1" customWidth="1"/>
    <col min="10" max="10" width="14.28125" style="22" bestFit="1" customWidth="1"/>
    <col min="11" max="11" width="13.8515625" style="22" bestFit="1" customWidth="1"/>
    <col min="12" max="12" width="9.140625" style="22" customWidth="1"/>
    <col min="13" max="13" width="12.8515625" style="22" bestFit="1" customWidth="1"/>
    <col min="14" max="16384" width="9.140625" style="22" customWidth="1"/>
  </cols>
  <sheetData>
    <row r="1" spans="1:14" ht="12.75">
      <c r="A1" s="104" t="s">
        <v>71</v>
      </c>
      <c r="B1" s="104"/>
      <c r="C1" s="104"/>
      <c r="D1" s="104"/>
      <c r="E1" s="104"/>
      <c r="F1" s="104"/>
      <c r="G1" s="20"/>
      <c r="H1" s="20"/>
      <c r="I1" s="20"/>
      <c r="J1" s="20"/>
      <c r="K1" s="20"/>
      <c r="L1" s="96"/>
      <c r="M1" s="96"/>
      <c r="N1" s="96"/>
    </row>
    <row r="2" spans="1:14" ht="12.75">
      <c r="A2" s="15" t="s">
        <v>47</v>
      </c>
      <c r="B2" s="14"/>
      <c r="C2" s="26"/>
      <c r="D2" s="14"/>
      <c r="E2" s="14"/>
      <c r="F2" s="14"/>
      <c r="G2" s="19"/>
      <c r="H2" s="19"/>
      <c r="I2" s="19"/>
      <c r="J2" s="19"/>
      <c r="K2" s="19"/>
      <c r="L2" s="96"/>
      <c r="M2" s="96"/>
      <c r="N2" s="96"/>
    </row>
    <row r="3" spans="1:14" ht="11.25">
      <c r="A3" s="2" t="s">
        <v>12</v>
      </c>
      <c r="B3" s="1"/>
      <c r="C3" s="1"/>
      <c r="D3" s="1"/>
      <c r="E3" s="1"/>
      <c r="F3" s="1"/>
      <c r="G3" s="20"/>
      <c r="H3" s="20"/>
      <c r="I3" s="20"/>
      <c r="J3" s="20"/>
      <c r="K3" s="20"/>
      <c r="L3" s="96"/>
      <c r="M3" s="96"/>
      <c r="N3" s="96"/>
    </row>
    <row r="4" spans="1:14" ht="11.25">
      <c r="A4" s="14" t="s">
        <v>13</v>
      </c>
      <c r="B4" s="14"/>
      <c r="C4" s="26"/>
      <c r="D4" s="14"/>
      <c r="E4" s="14"/>
      <c r="F4" s="14"/>
      <c r="G4" s="19"/>
      <c r="H4" s="19"/>
      <c r="I4" s="19"/>
      <c r="J4" s="19"/>
      <c r="K4" s="19"/>
      <c r="L4" s="96"/>
      <c r="M4" s="96"/>
      <c r="N4" s="96"/>
    </row>
    <row r="5" spans="1:11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7" ht="12" thickBot="1"/>
    <row r="8" spans="1:11" ht="34.5" thickBot="1">
      <c r="A8" s="3"/>
      <c r="B8" s="23" t="s">
        <v>24</v>
      </c>
      <c r="C8" s="23" t="s">
        <v>25</v>
      </c>
      <c r="D8" s="23" t="s">
        <v>26</v>
      </c>
      <c r="E8" s="23" t="s">
        <v>22</v>
      </c>
      <c r="F8" s="23" t="s">
        <v>21</v>
      </c>
      <c r="G8" s="5"/>
      <c r="H8" s="6"/>
      <c r="I8" s="5"/>
      <c r="J8" s="5"/>
      <c r="K8" s="5"/>
    </row>
    <row r="9" spans="1:11" ht="11.25">
      <c r="A9" s="4"/>
      <c r="B9" s="5"/>
      <c r="C9" s="5"/>
      <c r="D9" s="5"/>
      <c r="E9" s="5"/>
      <c r="F9" s="5"/>
      <c r="G9" s="5"/>
      <c r="H9" s="6"/>
      <c r="I9" s="5"/>
      <c r="J9" s="5"/>
      <c r="K9" s="5"/>
    </row>
    <row r="10" spans="1:11" ht="11.25">
      <c r="A10" s="4" t="s">
        <v>31</v>
      </c>
      <c r="B10" s="5"/>
      <c r="C10" s="5"/>
      <c r="D10" s="5"/>
      <c r="E10" s="5"/>
      <c r="F10" s="5"/>
      <c r="G10" s="5"/>
      <c r="H10" s="6"/>
      <c r="I10" s="5"/>
      <c r="J10" s="5"/>
      <c r="K10" s="5"/>
    </row>
    <row r="11" spans="1:11" ht="11.25">
      <c r="A11" s="28" t="s">
        <v>31</v>
      </c>
      <c r="B11" s="38">
        <v>58400000</v>
      </c>
      <c r="C11" s="38">
        <v>28400000</v>
      </c>
      <c r="D11" s="38">
        <v>33400000</v>
      </c>
      <c r="E11" s="38">
        <v>15000000</v>
      </c>
      <c r="F11" s="38">
        <f>SUM(B11:E11)</f>
        <v>135200000</v>
      </c>
      <c r="G11" s="39"/>
      <c r="H11" s="39"/>
      <c r="I11" s="39"/>
      <c r="J11" s="39"/>
      <c r="K11" s="39"/>
    </row>
    <row r="12" spans="1:11" ht="11.25">
      <c r="A12" s="29" t="s">
        <v>32</v>
      </c>
      <c r="B12" s="38">
        <v>5032072.966070779</v>
      </c>
      <c r="C12" s="38">
        <v>2737760</v>
      </c>
      <c r="D12" s="38">
        <v>2672000</v>
      </c>
      <c r="E12" s="38">
        <v>1446000</v>
      </c>
      <c r="F12" s="38">
        <f aca="true" t="shared" si="0" ref="F12:F22">SUM(B12:E12)</f>
        <v>11887832.966070779</v>
      </c>
      <c r="G12" s="39"/>
      <c r="H12" s="39"/>
      <c r="I12" s="39"/>
      <c r="J12" s="39"/>
      <c r="K12" s="39"/>
    </row>
    <row r="13" spans="1:11" ht="11.25">
      <c r="A13" s="29" t="s">
        <v>49</v>
      </c>
      <c r="B13" s="38">
        <v>700800</v>
      </c>
      <c r="C13" s="38">
        <v>340800</v>
      </c>
      <c r="D13" s="38">
        <v>400800</v>
      </c>
      <c r="E13" s="38">
        <v>180000</v>
      </c>
      <c r="F13" s="38">
        <f t="shared" si="0"/>
        <v>1622400</v>
      </c>
      <c r="G13" s="39"/>
      <c r="H13" s="39"/>
      <c r="I13" s="39"/>
      <c r="J13" s="39"/>
      <c r="K13" s="39"/>
    </row>
    <row r="14" spans="1:11" ht="11.25">
      <c r="A14" s="28" t="s">
        <v>72</v>
      </c>
      <c r="B14" s="38">
        <f>B11*0.2*0.4</f>
        <v>4672000</v>
      </c>
      <c r="C14" s="38">
        <f>C11*0.2*0.4</f>
        <v>2272000</v>
      </c>
      <c r="D14" s="38">
        <f>D11*0.2*0.4</f>
        <v>2672000</v>
      </c>
      <c r="E14" s="38">
        <f>E11*0.2*0.4</f>
        <v>1200000</v>
      </c>
      <c r="F14" s="38">
        <f t="shared" si="0"/>
        <v>10816000</v>
      </c>
      <c r="G14" s="39"/>
      <c r="H14" s="39"/>
      <c r="I14" s="39"/>
      <c r="J14" s="39"/>
      <c r="K14" s="39"/>
    </row>
    <row r="15" spans="1:13" ht="11.25">
      <c r="A15" s="28" t="s">
        <v>45</v>
      </c>
      <c r="B15" s="40">
        <f>B11*0.02</f>
        <v>1168000</v>
      </c>
      <c r="C15" s="40">
        <f>C11*0.02</f>
        <v>568000</v>
      </c>
      <c r="D15" s="40">
        <f>D11*0.02</f>
        <v>668000</v>
      </c>
      <c r="E15" s="40">
        <f>E11*0.02</f>
        <v>300000</v>
      </c>
      <c r="F15" s="40">
        <f t="shared" si="0"/>
        <v>2704000</v>
      </c>
      <c r="G15" s="39"/>
      <c r="H15" s="39"/>
      <c r="I15" s="39"/>
      <c r="J15" s="39"/>
      <c r="K15" s="39"/>
      <c r="M15" s="38"/>
    </row>
    <row r="16" spans="1:11" ht="11.25">
      <c r="A16" s="16" t="s">
        <v>33</v>
      </c>
      <c r="B16" s="30">
        <f>B11-SUM(B12:B15)</f>
        <v>46827127.03392922</v>
      </c>
      <c r="C16" s="30">
        <f>C11-SUM(C12:C15)</f>
        <v>22481440</v>
      </c>
      <c r="D16" s="30">
        <f>D11-SUM(D12:D15)</f>
        <v>26987200</v>
      </c>
      <c r="E16" s="30">
        <f>E11-SUM(E12:E15)</f>
        <v>11874000</v>
      </c>
      <c r="F16" s="30">
        <f>F11-SUM(F12:F15)</f>
        <v>108169767.03392923</v>
      </c>
      <c r="G16" s="39"/>
      <c r="H16" s="39"/>
      <c r="I16" s="39"/>
      <c r="J16" s="39"/>
      <c r="K16" s="39"/>
    </row>
    <row r="17" spans="1:11" ht="11.25">
      <c r="A17" s="16"/>
      <c r="B17" s="30"/>
      <c r="C17" s="30"/>
      <c r="D17" s="30"/>
      <c r="E17" s="30"/>
      <c r="F17" s="30"/>
      <c r="G17" s="39"/>
      <c r="H17" s="39"/>
      <c r="I17" s="39"/>
      <c r="J17" s="39"/>
      <c r="K17" s="39"/>
    </row>
    <row r="18" spans="1:11" ht="11.25">
      <c r="A18" s="16" t="s">
        <v>34</v>
      </c>
      <c r="B18" s="38"/>
      <c r="C18" s="38"/>
      <c r="D18" s="38"/>
      <c r="E18" s="38"/>
      <c r="F18" s="38"/>
      <c r="G18" s="39"/>
      <c r="H18" s="39"/>
      <c r="I18" s="39"/>
      <c r="J18" s="39"/>
      <c r="K18" s="39"/>
    </row>
    <row r="19" spans="1:13" ht="11.25">
      <c r="A19" s="28" t="s">
        <v>44</v>
      </c>
      <c r="B19" s="38">
        <f>59800000</f>
        <v>59800000</v>
      </c>
      <c r="C19" s="38">
        <v>37800000</v>
      </c>
      <c r="D19" s="38">
        <v>32000000</v>
      </c>
      <c r="E19" s="38">
        <v>15750000</v>
      </c>
      <c r="F19" s="38">
        <f t="shared" si="0"/>
        <v>145350000</v>
      </c>
      <c r="G19" s="39"/>
      <c r="H19" s="39"/>
      <c r="I19" s="39"/>
      <c r="J19" s="39"/>
      <c r="K19" s="39"/>
      <c r="M19" s="38"/>
    </row>
    <row r="20" spans="1:11" ht="11.25">
      <c r="A20" s="28" t="s">
        <v>35</v>
      </c>
      <c r="B20" s="38">
        <v>1000000</v>
      </c>
      <c r="C20" s="38">
        <v>750000</v>
      </c>
      <c r="D20" s="38">
        <v>600000</v>
      </c>
      <c r="E20" s="38">
        <v>750000</v>
      </c>
      <c r="F20" s="38">
        <f t="shared" si="0"/>
        <v>3100000</v>
      </c>
      <c r="G20" s="39"/>
      <c r="H20" s="39"/>
      <c r="I20" s="39"/>
      <c r="J20" s="39"/>
      <c r="K20" s="39"/>
    </row>
    <row r="21" spans="1:11" ht="11.25">
      <c r="A21" s="28" t="s">
        <v>67</v>
      </c>
      <c r="B21" s="39">
        <f>B11*0.2</f>
        <v>11680000</v>
      </c>
      <c r="C21" s="39">
        <f>C11*0.2</f>
        <v>5680000</v>
      </c>
      <c r="D21" s="39">
        <f>D11*0.2</f>
        <v>6680000</v>
      </c>
      <c r="E21" s="39">
        <f>E11*0.2</f>
        <v>3000000</v>
      </c>
      <c r="F21" s="39">
        <f>SUM(B21:E21)</f>
        <v>27040000</v>
      </c>
      <c r="G21" s="39"/>
      <c r="H21" s="39"/>
      <c r="I21" s="39"/>
      <c r="J21" s="39"/>
      <c r="K21" s="39"/>
    </row>
    <row r="22" spans="1:11" ht="11.25">
      <c r="A22" s="28" t="s">
        <v>36</v>
      </c>
      <c r="B22" s="40">
        <v>0</v>
      </c>
      <c r="C22" s="40">
        <v>20000</v>
      </c>
      <c r="D22" s="40">
        <v>25000</v>
      </c>
      <c r="E22" s="40">
        <v>1500</v>
      </c>
      <c r="F22" s="40">
        <f t="shared" si="0"/>
        <v>46500</v>
      </c>
      <c r="G22" s="39"/>
      <c r="H22" s="39"/>
      <c r="I22" s="39"/>
      <c r="J22" s="39"/>
      <c r="K22" s="39"/>
    </row>
    <row r="23" spans="1:11" ht="11.25">
      <c r="A23" s="16" t="s">
        <v>37</v>
      </c>
      <c r="B23" s="30">
        <f>B19+B20-B21-B22</f>
        <v>49120000</v>
      </c>
      <c r="C23" s="30">
        <f>C19+C20-C21-C22</f>
        <v>32850000</v>
      </c>
      <c r="D23" s="30">
        <f>D19+D20-D21-D22</f>
        <v>25895000</v>
      </c>
      <c r="E23" s="30">
        <f>E19+E20-E21-E22</f>
        <v>13498500</v>
      </c>
      <c r="F23" s="30">
        <f>F19+F20-F21-F22</f>
        <v>121363500</v>
      </c>
      <c r="G23" s="39"/>
      <c r="H23" s="39"/>
      <c r="I23" s="39"/>
      <c r="J23" s="39"/>
      <c r="K23" s="39"/>
    </row>
    <row r="24" spans="1:11" ht="11.25">
      <c r="A24" s="7"/>
      <c r="B24" s="38"/>
      <c r="C24" s="38"/>
      <c r="D24" s="38"/>
      <c r="E24" s="38"/>
      <c r="F24" s="38"/>
      <c r="G24" s="39"/>
      <c r="H24" s="39"/>
      <c r="I24" s="39"/>
      <c r="J24" s="39"/>
      <c r="K24" s="39"/>
    </row>
    <row r="25" spans="1:11" ht="11.25">
      <c r="A25" s="16" t="s">
        <v>46</v>
      </c>
      <c r="B25" s="38">
        <v>3844400</v>
      </c>
      <c r="C25" s="38">
        <v>1869500</v>
      </c>
      <c r="D25" s="38">
        <v>2198700</v>
      </c>
      <c r="E25" s="38">
        <v>987400</v>
      </c>
      <c r="F25" s="38">
        <f>SUM(B25:E25)</f>
        <v>8900000</v>
      </c>
      <c r="G25" s="39"/>
      <c r="H25" s="39"/>
      <c r="I25" s="39"/>
      <c r="J25" s="39"/>
      <c r="K25" s="39"/>
    </row>
    <row r="26" spans="1:11" ht="12" thickBot="1">
      <c r="A26" s="7"/>
      <c r="B26" s="38"/>
      <c r="C26" s="38"/>
      <c r="D26" s="38"/>
      <c r="E26" s="38"/>
      <c r="F26" s="38"/>
      <c r="G26" s="39"/>
      <c r="H26" s="39"/>
      <c r="I26" s="39"/>
      <c r="J26" s="39"/>
      <c r="K26" s="39"/>
    </row>
    <row r="27" spans="1:11" ht="12" thickBot="1">
      <c r="A27" s="17" t="s">
        <v>38</v>
      </c>
      <c r="B27" s="31">
        <f>+B16-B23+B25</f>
        <v>1551527.0339292213</v>
      </c>
      <c r="C27" s="31">
        <f>+C16-C23+C25</f>
        <v>-8499060</v>
      </c>
      <c r="D27" s="31">
        <f>+D16-D23+D25</f>
        <v>3290900</v>
      </c>
      <c r="E27" s="31">
        <f>+E16-E23+E25</f>
        <v>-637100</v>
      </c>
      <c r="F27" s="31">
        <f>+F16-F23+F25</f>
        <v>-4293732.966070771</v>
      </c>
      <c r="G27" s="39"/>
      <c r="H27" s="39"/>
      <c r="I27" s="39"/>
      <c r="J27" s="39"/>
      <c r="K27" s="39"/>
    </row>
    <row r="28" spans="1:11" ht="11.25">
      <c r="A28" s="16" t="s">
        <v>14</v>
      </c>
      <c r="B28" s="41">
        <f>B27/B16</f>
        <v>0.03313308187378315</v>
      </c>
      <c r="C28" s="41">
        <f>C27/C16</f>
        <v>-0.3780478474688454</v>
      </c>
      <c r="D28" s="41">
        <f>D27/D16</f>
        <v>0.12194299519772336</v>
      </c>
      <c r="E28" s="41">
        <f>E27/E16</f>
        <v>-0.05365504463533771</v>
      </c>
      <c r="F28" s="41">
        <f>F27/F16</f>
        <v>-0.03969439043650682</v>
      </c>
      <c r="G28" s="42"/>
      <c r="H28" s="42"/>
      <c r="I28" s="42"/>
      <c r="J28" s="42"/>
      <c r="K28" s="42"/>
    </row>
    <row r="29" spans="1:11" ht="11.25">
      <c r="A29" s="22" t="s">
        <v>39</v>
      </c>
      <c r="B29" s="43">
        <v>200000</v>
      </c>
      <c r="C29" s="43">
        <v>2000</v>
      </c>
      <c r="D29" s="43">
        <v>75000</v>
      </c>
      <c r="E29" s="43">
        <v>15000</v>
      </c>
      <c r="F29" s="43">
        <f>+SUM(B29:E29)</f>
        <v>292000</v>
      </c>
      <c r="G29" s="41"/>
      <c r="H29" s="41"/>
      <c r="I29" s="41"/>
      <c r="J29" s="41"/>
      <c r="K29" s="41"/>
    </row>
    <row r="30" spans="1:11" ht="11.25">
      <c r="A30" s="7"/>
      <c r="B30" s="38"/>
      <c r="C30" s="46"/>
      <c r="D30" s="47"/>
      <c r="E30" s="41"/>
      <c r="F30" s="41"/>
      <c r="G30" s="41"/>
      <c r="H30" s="41"/>
      <c r="I30" s="41"/>
      <c r="J30" s="41"/>
      <c r="K30" s="41"/>
    </row>
    <row r="31" spans="1:11" ht="11.25">
      <c r="A31" s="7" t="s">
        <v>50</v>
      </c>
      <c r="B31" s="43"/>
      <c r="C31" s="43"/>
      <c r="D31" s="43"/>
      <c r="E31" s="43"/>
      <c r="F31" s="44">
        <v>500000</v>
      </c>
      <c r="G31" s="41"/>
      <c r="H31" s="41"/>
      <c r="I31" s="41"/>
      <c r="J31" s="41"/>
      <c r="K31" s="41"/>
    </row>
    <row r="32" spans="1:11" ht="12" thickBot="1">
      <c r="A32" s="7" t="s">
        <v>51</v>
      </c>
      <c r="B32" s="43"/>
      <c r="C32" s="43"/>
      <c r="D32" s="43"/>
      <c r="E32" s="43"/>
      <c r="F32" s="45">
        <f>F27+F31</f>
        <v>-3793732.966070771</v>
      </c>
      <c r="G32" s="41"/>
      <c r="H32" s="41"/>
      <c r="I32" s="41"/>
      <c r="J32" s="41"/>
      <c r="K32" s="41"/>
    </row>
    <row r="33" spans="1:11" ht="12.75" thickBot="1" thickTop="1">
      <c r="A33" s="7"/>
      <c r="C33" s="48"/>
      <c r="K33" s="39"/>
    </row>
    <row r="34" spans="1:11" ht="12" thickBot="1">
      <c r="A34" s="8" t="s">
        <v>1</v>
      </c>
      <c r="K34" s="38"/>
    </row>
    <row r="35" spans="1:7" ht="11.25">
      <c r="A35" s="7"/>
      <c r="B35" s="49"/>
      <c r="C35" s="49"/>
      <c r="D35" s="42"/>
      <c r="F35" s="50"/>
      <c r="G35" s="50"/>
    </row>
    <row r="36" spans="1:13" ht="24" customHeight="1">
      <c r="A36" s="97" t="s">
        <v>65</v>
      </c>
      <c r="B36" s="38">
        <f>F16</f>
        <v>108169767.03392923</v>
      </c>
      <c r="C36" s="98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22" t="s">
        <v>27</v>
      </c>
      <c r="B37" s="38">
        <f>F32</f>
        <v>-3793732.966070771</v>
      </c>
      <c r="C37" s="99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.75">
      <c r="A38" s="22" t="s">
        <v>14</v>
      </c>
      <c r="B38" s="41">
        <f>B37/B36</f>
        <v>-0.03507202677880229</v>
      </c>
      <c r="C38" s="99"/>
      <c r="D38" s="99"/>
      <c r="E38" s="99"/>
      <c r="F38" s="80"/>
      <c r="G38" s="80"/>
      <c r="H38" s="80"/>
      <c r="I38" s="80"/>
      <c r="J38" s="80"/>
      <c r="K38" s="80"/>
      <c r="L38" s="80"/>
      <c r="M38" s="80"/>
    </row>
    <row r="39" spans="2:13" ht="12.75">
      <c r="B39" s="38"/>
      <c r="C39" s="99"/>
      <c r="D39" s="99"/>
      <c r="E39" s="80"/>
      <c r="F39" s="80"/>
      <c r="G39" s="80"/>
      <c r="H39" s="80"/>
      <c r="I39" s="80"/>
      <c r="J39" s="80"/>
      <c r="K39" s="80"/>
      <c r="L39" s="80"/>
      <c r="M39" s="80"/>
    </row>
    <row r="40" spans="2:13" ht="12.75">
      <c r="B40" s="52"/>
      <c r="C40" s="99"/>
      <c r="D40" s="99"/>
      <c r="E40" s="80"/>
      <c r="F40" s="80"/>
      <c r="G40" s="80"/>
      <c r="H40" s="80"/>
      <c r="I40" s="80"/>
      <c r="J40" s="80"/>
      <c r="K40" s="80"/>
      <c r="L40" s="80"/>
      <c r="M40" s="80"/>
    </row>
    <row r="41" spans="3:13" ht="12.75">
      <c r="C41" s="80"/>
      <c r="D41" s="99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7" t="s">
        <v>29</v>
      </c>
      <c r="B42" s="53">
        <f>IF(B37&gt;0,-SUM(E50:E54),-SUM(E59:E61))</f>
        <v>548639.9550528945</v>
      </c>
      <c r="C42" s="80"/>
      <c r="D42" s="99"/>
      <c r="E42" s="99"/>
      <c r="F42" s="80"/>
      <c r="G42" s="80"/>
      <c r="H42" s="80"/>
      <c r="I42" s="80"/>
      <c r="J42" s="80"/>
      <c r="K42" s="80"/>
      <c r="L42" s="80"/>
      <c r="M42" s="80"/>
    </row>
    <row r="43" spans="1:13" ht="22.5">
      <c r="A43" s="95" t="s">
        <v>58</v>
      </c>
      <c r="B43" s="53">
        <v>50000</v>
      </c>
      <c r="C43" s="80"/>
      <c r="D43" s="99"/>
      <c r="E43" s="99"/>
      <c r="F43" s="80"/>
      <c r="G43" s="80"/>
      <c r="H43" s="80"/>
      <c r="I43" s="80"/>
      <c r="J43" s="80"/>
      <c r="K43" s="80"/>
      <c r="L43" s="80"/>
      <c r="M43" s="80"/>
    </row>
    <row r="44" spans="1:13" ht="12.75">
      <c r="A44" s="7" t="s">
        <v>0</v>
      </c>
      <c r="B44" s="39">
        <f>(B42+B43)/0.98-(B42+B43)</f>
        <v>12217.141939854948</v>
      </c>
      <c r="C44" s="100"/>
      <c r="D44" s="99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>
      <c r="A45" s="55" t="s">
        <v>60</v>
      </c>
      <c r="B45" s="39">
        <v>0</v>
      </c>
      <c r="C45" s="100"/>
      <c r="D45" s="99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13.5" thickBot="1">
      <c r="A46" s="7" t="s">
        <v>28</v>
      </c>
      <c r="B46" s="56">
        <f>SUM(B42:B45)</f>
        <v>610857.0969927495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3:13" ht="13.5" thickTop="1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2:10" ht="12">
      <c r="B48" s="38"/>
      <c r="C48" s="57"/>
      <c r="D48" s="57" t="s">
        <v>17</v>
      </c>
      <c r="E48" s="57"/>
      <c r="F48" s="57"/>
      <c r="G48" s="57"/>
      <c r="J48" s="10"/>
    </row>
    <row r="49" spans="1:10" ht="12">
      <c r="A49" s="22" t="s">
        <v>15</v>
      </c>
      <c r="B49" s="22" t="s">
        <v>2</v>
      </c>
      <c r="C49" s="57" t="s">
        <v>3</v>
      </c>
      <c r="D49" s="57" t="s">
        <v>18</v>
      </c>
      <c r="E49" s="57" t="s">
        <v>4</v>
      </c>
      <c r="F49" s="57"/>
      <c r="G49" s="57" t="s">
        <v>19</v>
      </c>
      <c r="J49" s="9"/>
    </row>
    <row r="50" spans="2:10" ht="12">
      <c r="B50" s="24" t="s">
        <v>16</v>
      </c>
      <c r="C50" s="11">
        <v>0</v>
      </c>
      <c r="D50" s="61">
        <f>IF(G50&lt;=0,0,IF($B$36*0.03&gt;G50,G50,$B$36*0.03))</f>
        <v>0</v>
      </c>
      <c r="E50" s="61">
        <f>+C50*D50</f>
        <v>0</v>
      </c>
      <c r="G50" s="62">
        <f>+IF(B37&lt;0,0,B37)</f>
        <v>0</v>
      </c>
      <c r="H50" s="62"/>
      <c r="J50" s="61"/>
    </row>
    <row r="51" spans="2:10" ht="12">
      <c r="B51" s="24" t="s">
        <v>9</v>
      </c>
      <c r="C51" s="11">
        <v>0.5</v>
      </c>
      <c r="D51" s="61">
        <f>IF(G51&lt;=0,0,IF($B$36*0.03&gt;G51,G51,$B$36*0.03))</f>
        <v>0</v>
      </c>
      <c r="E51" s="61">
        <f>+C51*D51</f>
        <v>0</v>
      </c>
      <c r="G51" s="62">
        <f>+G50-D50</f>
        <v>0</v>
      </c>
      <c r="H51" s="62"/>
      <c r="J51" s="61"/>
    </row>
    <row r="52" spans="2:10" ht="12">
      <c r="B52" s="24" t="s">
        <v>10</v>
      </c>
      <c r="C52" s="11">
        <v>1</v>
      </c>
      <c r="D52" s="61">
        <f>IF(G52&lt;=0,0,IF($B$36*0.94&gt;G52,G52,$B$36*0.94))</f>
        <v>0</v>
      </c>
      <c r="E52" s="61">
        <f>+C52*D52</f>
        <v>0</v>
      </c>
      <c r="G52" s="62">
        <f>+G51-D51</f>
        <v>0</v>
      </c>
      <c r="H52" s="52"/>
      <c r="J52" s="61"/>
    </row>
    <row r="53" spans="2:10" ht="12">
      <c r="B53" s="24"/>
      <c r="C53" s="11"/>
      <c r="D53" s="61"/>
      <c r="E53" s="61"/>
      <c r="G53" s="62"/>
      <c r="H53" s="62"/>
      <c r="J53" s="61"/>
    </row>
    <row r="54" spans="2:10" ht="12">
      <c r="B54" s="24"/>
      <c r="C54" s="11"/>
      <c r="D54" s="61"/>
      <c r="E54" s="61"/>
      <c r="G54" s="62"/>
      <c r="H54" s="62"/>
      <c r="J54" s="61"/>
    </row>
    <row r="55" spans="2:5" ht="11.25">
      <c r="B55" s="24"/>
      <c r="C55" s="24"/>
      <c r="E55" s="62"/>
    </row>
    <row r="57" spans="2:10" ht="12">
      <c r="B57" s="38"/>
      <c r="C57" s="57"/>
      <c r="D57" s="57" t="s">
        <v>5</v>
      </c>
      <c r="E57" s="57"/>
      <c r="F57" s="57"/>
      <c r="G57" s="57"/>
      <c r="J57" s="12"/>
    </row>
    <row r="58" spans="1:10" ht="12">
      <c r="A58" s="22" t="s">
        <v>15</v>
      </c>
      <c r="B58" s="22" t="s">
        <v>6</v>
      </c>
      <c r="C58" s="57" t="s">
        <v>3</v>
      </c>
      <c r="D58" s="57" t="s">
        <v>7</v>
      </c>
      <c r="E58" s="57" t="s">
        <v>8</v>
      </c>
      <c r="F58" s="57"/>
      <c r="G58" s="57" t="s">
        <v>19</v>
      </c>
      <c r="J58" s="12"/>
    </row>
    <row r="59" spans="2:10" ht="12">
      <c r="B59" s="24" t="s">
        <v>16</v>
      </c>
      <c r="C59" s="11">
        <v>0</v>
      </c>
      <c r="D59" s="61">
        <f>IF(G59&gt;0,0,IF(-$B$36*0.03&lt;G59,G59,-$B$36*0.03))</f>
        <v>-3245093.0110178767</v>
      </c>
      <c r="E59" s="61">
        <f>+D59*C59</f>
        <v>0</v>
      </c>
      <c r="G59" s="62">
        <f>+IF(B37&gt;0,0,B37)</f>
        <v>-3793732.966070771</v>
      </c>
      <c r="H59" s="62"/>
      <c r="J59" s="61"/>
    </row>
    <row r="60" spans="2:10" ht="12">
      <c r="B60" s="24" t="s">
        <v>23</v>
      </c>
      <c r="C60" s="11">
        <v>1</v>
      </c>
      <c r="D60" s="61">
        <f>IF(G60&gt;0,0,IF(-$B$36*0.97&lt;G60,G60,-$B$36*0.97))</f>
        <v>-548639.9550528945</v>
      </c>
      <c r="E60" s="61">
        <f>+D60*C60</f>
        <v>-548639.9550528945</v>
      </c>
      <c r="G60" s="62">
        <f>+G59-D59</f>
        <v>-548639.9550528945</v>
      </c>
      <c r="H60" s="62"/>
      <c r="J60" s="61"/>
    </row>
    <row r="61" spans="2:10" ht="12">
      <c r="B61" s="24"/>
      <c r="C61" s="11"/>
      <c r="D61" s="61"/>
      <c r="E61" s="61"/>
      <c r="G61" s="62"/>
      <c r="H61" s="62"/>
      <c r="J61" s="61"/>
    </row>
    <row r="62" spans="2:8" ht="12">
      <c r="B62" s="24"/>
      <c r="C62" s="11"/>
      <c r="D62" s="61"/>
      <c r="E62" s="61"/>
      <c r="H62" s="62"/>
    </row>
    <row r="63" spans="2:8" ht="12">
      <c r="B63" s="24"/>
      <c r="C63" s="11"/>
      <c r="D63" s="61"/>
      <c r="E63" s="61"/>
      <c r="H63" s="62"/>
    </row>
    <row r="64" ht="12" thickBot="1"/>
    <row r="65" spans="1:8" s="80" customFormat="1" ht="12.75">
      <c r="A65" s="13" t="s">
        <v>11</v>
      </c>
      <c r="B65" s="101"/>
      <c r="C65" s="101"/>
      <c r="D65" s="101"/>
      <c r="E65" s="101"/>
      <c r="F65" s="101"/>
      <c r="G65" s="101"/>
      <c r="H65" s="102"/>
    </row>
    <row r="66" spans="1:8" s="80" customFormat="1" ht="12.75">
      <c r="A66" s="25"/>
      <c r="B66" s="90"/>
      <c r="C66" s="90"/>
      <c r="D66" s="90"/>
      <c r="E66" s="90"/>
      <c r="F66" s="90"/>
      <c r="G66" s="90"/>
      <c r="H66" s="89"/>
    </row>
    <row r="67" spans="1:8" s="80" customFormat="1" ht="12.75">
      <c r="A67" s="21" t="s">
        <v>20</v>
      </c>
      <c r="B67" s="88"/>
      <c r="C67" s="88"/>
      <c r="D67" s="88"/>
      <c r="E67" s="88"/>
      <c r="F67" s="88"/>
      <c r="G67" s="88"/>
      <c r="H67" s="89"/>
    </row>
    <row r="68" spans="1:8" s="80" customFormat="1" ht="12.75">
      <c r="A68" s="21" t="s">
        <v>48</v>
      </c>
      <c r="B68" s="88"/>
      <c r="C68" s="88"/>
      <c r="D68" s="88"/>
      <c r="E68" s="88"/>
      <c r="F68" s="88"/>
      <c r="G68" s="88"/>
      <c r="H68" s="89"/>
    </row>
    <row r="69" spans="1:8" s="80" customFormat="1" ht="12.75">
      <c r="A69" s="21" t="s">
        <v>30</v>
      </c>
      <c r="B69" s="88"/>
      <c r="C69" s="88"/>
      <c r="D69" s="88"/>
      <c r="E69" s="88"/>
      <c r="F69" s="88"/>
      <c r="G69" s="88"/>
      <c r="H69" s="89"/>
    </row>
    <row r="70" spans="1:8" s="80" customFormat="1" ht="12.75">
      <c r="A70" s="21" t="s">
        <v>61</v>
      </c>
      <c r="B70" s="88"/>
      <c r="C70" s="88"/>
      <c r="D70" s="88"/>
      <c r="E70" s="88"/>
      <c r="F70" s="88"/>
      <c r="G70" s="88"/>
      <c r="H70" s="89"/>
    </row>
    <row r="71" spans="1:8" ht="12.75">
      <c r="A71" s="33" t="s">
        <v>43</v>
      </c>
      <c r="B71" s="37"/>
      <c r="C71" s="37"/>
      <c r="D71" s="37"/>
      <c r="E71" s="37"/>
      <c r="F71" s="37"/>
      <c r="G71" s="37"/>
      <c r="H71" s="91"/>
    </row>
    <row r="72" spans="1:8" ht="12.75">
      <c r="A72" s="34" t="s">
        <v>73</v>
      </c>
      <c r="B72" s="90"/>
      <c r="C72" s="90"/>
      <c r="D72" s="90"/>
      <c r="E72" s="90"/>
      <c r="F72" s="90"/>
      <c r="G72" s="90"/>
      <c r="H72" s="89"/>
    </row>
    <row r="73" spans="1:8" ht="12.75">
      <c r="A73" s="25" t="s">
        <v>62</v>
      </c>
      <c r="B73" s="88"/>
      <c r="C73" s="88"/>
      <c r="D73" s="88"/>
      <c r="E73" s="88"/>
      <c r="F73" s="88"/>
      <c r="G73" s="88"/>
      <c r="H73" s="89"/>
    </row>
    <row r="74" spans="1:8" ht="12.75">
      <c r="A74" s="34" t="s">
        <v>41</v>
      </c>
      <c r="B74" s="88"/>
      <c r="C74" s="88"/>
      <c r="D74" s="88"/>
      <c r="E74" s="88"/>
      <c r="F74" s="88"/>
      <c r="G74" s="88"/>
      <c r="H74" s="89"/>
    </row>
    <row r="75" spans="1:8" ht="12.75">
      <c r="A75" s="35" t="s">
        <v>63</v>
      </c>
      <c r="B75" s="32"/>
      <c r="C75" s="32"/>
      <c r="D75" s="32"/>
      <c r="E75" s="32"/>
      <c r="F75" s="32"/>
      <c r="G75" s="32"/>
      <c r="H75" s="36"/>
    </row>
    <row r="76" spans="1:8" ht="13.5" thickBot="1">
      <c r="A76" s="27" t="s">
        <v>42</v>
      </c>
      <c r="B76" s="92"/>
      <c r="C76" s="92"/>
      <c r="D76" s="92"/>
      <c r="E76" s="92"/>
      <c r="F76" s="92"/>
      <c r="G76" s="92"/>
      <c r="H76" s="93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49" r:id="rId1"/>
  <headerFooter alignWithMargins="0">
    <oddFooter>&amp;L&amp;"Times New Roman,Bold"Effective Date: 10/01/17
Revision Date: 05/03/18&amp;C&amp;"Times New Roman,Bold"&amp;12 312 CYE 14 through CYE 18, Attachment A,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Layout" workbookViewId="0" topLeftCell="A1">
      <selection activeCell="A1" sqref="A1:F1"/>
    </sheetView>
  </sheetViews>
  <sheetFormatPr defaultColWidth="17.7109375" defaultRowHeight="12.75"/>
  <cols>
    <col min="1" max="1" width="64.00390625" style="22" customWidth="1"/>
    <col min="2" max="5" width="17.8515625" style="22" bestFit="1" customWidth="1"/>
    <col min="6" max="6" width="18.140625" style="22" bestFit="1" customWidth="1"/>
    <col min="7" max="7" width="17.8515625" style="22" bestFit="1" customWidth="1"/>
    <col min="8" max="16384" width="17.7109375" style="22" customWidth="1"/>
  </cols>
  <sheetData>
    <row r="1" spans="1:6" s="80" customFormat="1" ht="12.75">
      <c r="A1" s="104" t="s">
        <v>53</v>
      </c>
      <c r="B1" s="104"/>
      <c r="C1" s="104"/>
      <c r="D1" s="104"/>
      <c r="E1" s="104"/>
      <c r="F1" s="104"/>
    </row>
    <row r="2" spans="1:6" s="80" customFormat="1" ht="12.75">
      <c r="A2" s="15" t="s">
        <v>47</v>
      </c>
      <c r="B2" s="81"/>
      <c r="C2" s="81"/>
      <c r="D2" s="81"/>
      <c r="E2" s="81"/>
      <c r="F2" s="81"/>
    </row>
    <row r="3" spans="1:13" s="80" customFormat="1" ht="12.75">
      <c r="A3" s="82" t="s">
        <v>54</v>
      </c>
      <c r="B3" s="83"/>
      <c r="C3" s="83"/>
      <c r="D3" s="83"/>
      <c r="E3" s="83"/>
      <c r="F3" s="83"/>
      <c r="G3" s="84"/>
      <c r="H3" s="84"/>
      <c r="I3" s="84"/>
      <c r="J3" s="84"/>
      <c r="K3" s="85"/>
      <c r="L3" s="85"/>
      <c r="M3" s="85"/>
    </row>
    <row r="4" spans="2:13" s="80" customFormat="1" ht="12.75">
      <c r="B4" s="83"/>
      <c r="C4" s="83"/>
      <c r="E4" s="83"/>
      <c r="F4" s="83"/>
      <c r="G4" s="84"/>
      <c r="H4" s="84"/>
      <c r="I4" s="84"/>
      <c r="J4" s="84"/>
      <c r="K4" s="85"/>
      <c r="L4" s="85"/>
      <c r="M4" s="85"/>
    </row>
    <row r="5" spans="1:13" s="80" customFormat="1" ht="12.75">
      <c r="A5" s="15"/>
      <c r="B5" s="15"/>
      <c r="C5" s="86"/>
      <c r="D5" s="15"/>
      <c r="E5" s="15"/>
      <c r="F5" s="15"/>
      <c r="G5" s="87"/>
      <c r="H5" s="87"/>
      <c r="I5" s="87"/>
      <c r="J5" s="87"/>
      <c r="K5" s="85"/>
      <c r="L5" s="85"/>
      <c r="M5" s="85"/>
    </row>
    <row r="6" spans="1:10" ht="12.75">
      <c r="A6" s="94"/>
      <c r="B6" s="80"/>
      <c r="C6" s="80"/>
      <c r="D6" s="80"/>
      <c r="E6" s="80"/>
      <c r="F6" s="80"/>
      <c r="G6" s="80"/>
      <c r="H6" s="80"/>
      <c r="I6" s="80"/>
      <c r="J6" s="80"/>
    </row>
    <row r="8" ht="12" thickBot="1"/>
    <row r="9" spans="1:10" ht="34.5" thickBot="1">
      <c r="A9" s="3"/>
      <c r="B9" s="23" t="s">
        <v>24</v>
      </c>
      <c r="C9" s="23" t="s">
        <v>25</v>
      </c>
      <c r="D9" s="23" t="s">
        <v>26</v>
      </c>
      <c r="E9" s="23" t="s">
        <v>22</v>
      </c>
      <c r="F9" s="23" t="s">
        <v>21</v>
      </c>
      <c r="G9" s="5"/>
      <c r="H9" s="6"/>
      <c r="I9" s="5"/>
      <c r="J9" s="5"/>
    </row>
    <row r="10" spans="1:10" ht="11.25">
      <c r="A10" s="4"/>
      <c r="B10" s="5"/>
      <c r="C10" s="5"/>
      <c r="D10" s="5"/>
      <c r="E10" s="5"/>
      <c r="F10" s="5"/>
      <c r="G10" s="5"/>
      <c r="H10" s="6"/>
      <c r="I10" s="5"/>
      <c r="J10" s="5"/>
    </row>
    <row r="11" spans="1:10" ht="11.25">
      <c r="A11" s="4" t="s">
        <v>31</v>
      </c>
      <c r="B11" s="5"/>
      <c r="C11" s="5"/>
      <c r="D11" s="5"/>
      <c r="E11" s="5"/>
      <c r="F11" s="5"/>
      <c r="G11" s="5"/>
      <c r="H11" s="6"/>
      <c r="I11" s="5"/>
      <c r="J11" s="5"/>
    </row>
    <row r="12" spans="1:10" ht="11.25">
      <c r="A12" s="28" t="s">
        <v>31</v>
      </c>
      <c r="B12" s="38">
        <v>58400000</v>
      </c>
      <c r="C12" s="38">
        <v>28400000</v>
      </c>
      <c r="D12" s="38">
        <v>33400000</v>
      </c>
      <c r="E12" s="38">
        <v>15000000</v>
      </c>
      <c r="F12" s="38">
        <f>SUM(B12:E12)</f>
        <v>135200000</v>
      </c>
      <c r="G12" s="39"/>
      <c r="H12" s="39"/>
      <c r="I12" s="39"/>
      <c r="J12" s="39"/>
    </row>
    <row r="13" spans="1:10" ht="11.25">
      <c r="A13" s="29" t="s">
        <v>32</v>
      </c>
      <c r="B13" s="38">
        <v>5032072.966070779</v>
      </c>
      <c r="C13" s="38">
        <v>2737760</v>
      </c>
      <c r="D13" s="38">
        <v>2672000</v>
      </c>
      <c r="E13" s="38">
        <v>1446000</v>
      </c>
      <c r="F13" s="38">
        <f aca="true" t="shared" si="0" ref="F13:F21">SUM(B13:E13)</f>
        <v>11887832.966070779</v>
      </c>
      <c r="G13" s="39"/>
      <c r="H13" s="39"/>
      <c r="I13" s="39"/>
      <c r="J13" s="39"/>
    </row>
    <row r="14" spans="1:10" ht="11.25">
      <c r="A14" s="29" t="s">
        <v>49</v>
      </c>
      <c r="B14" s="38">
        <v>700800</v>
      </c>
      <c r="C14" s="38">
        <v>340800</v>
      </c>
      <c r="D14" s="38">
        <v>400800</v>
      </c>
      <c r="E14" s="38">
        <v>180000</v>
      </c>
      <c r="F14" s="38">
        <f t="shared" si="0"/>
        <v>1622400</v>
      </c>
      <c r="G14" s="39"/>
      <c r="H14" s="39"/>
      <c r="I14" s="39"/>
      <c r="J14" s="39"/>
    </row>
    <row r="15" spans="1:12" ht="11.25">
      <c r="A15" s="28" t="s">
        <v>45</v>
      </c>
      <c r="B15" s="40">
        <f>B12*0.02</f>
        <v>1168000</v>
      </c>
      <c r="C15" s="40">
        <f>C12*0.02</f>
        <v>568000</v>
      </c>
      <c r="D15" s="40">
        <f>D12*0.02</f>
        <v>668000</v>
      </c>
      <c r="E15" s="40">
        <f>E12*0.02</f>
        <v>300000</v>
      </c>
      <c r="F15" s="40">
        <f t="shared" si="0"/>
        <v>2704000</v>
      </c>
      <c r="G15" s="39"/>
      <c r="H15" s="39"/>
      <c r="I15" s="39"/>
      <c r="J15" s="39"/>
      <c r="L15" s="38"/>
    </row>
    <row r="16" spans="1:10" ht="11.25">
      <c r="A16" s="16" t="s">
        <v>33</v>
      </c>
      <c r="B16" s="30">
        <f>B12-SUM(B13:B15)</f>
        <v>51499127.03392922</v>
      </c>
      <c r="C16" s="30">
        <f>C12-SUM(C13:C15)</f>
        <v>24753440</v>
      </c>
      <c r="D16" s="30">
        <f>D12-SUM(D13:D15)</f>
        <v>29659200</v>
      </c>
      <c r="E16" s="30">
        <f>E12-SUM(E13:E15)</f>
        <v>13074000</v>
      </c>
      <c r="F16" s="30">
        <f>F12-SUM(F13:F15)</f>
        <v>118985767.03392923</v>
      </c>
      <c r="G16" s="39"/>
      <c r="H16" s="39"/>
      <c r="I16" s="39"/>
      <c r="J16" s="39"/>
    </row>
    <row r="17" spans="1:10" ht="11.25">
      <c r="A17" s="16"/>
      <c r="B17" s="30"/>
      <c r="C17" s="30"/>
      <c r="D17" s="30"/>
      <c r="E17" s="30"/>
      <c r="F17" s="30"/>
      <c r="G17" s="39"/>
      <c r="H17" s="39"/>
      <c r="I17" s="39"/>
      <c r="J17" s="39"/>
    </row>
    <row r="18" spans="1:10" ht="11.25">
      <c r="A18" s="16" t="s">
        <v>34</v>
      </c>
      <c r="B18" s="38"/>
      <c r="C18" s="38"/>
      <c r="D18" s="38"/>
      <c r="E18" s="38"/>
      <c r="F18" s="38"/>
      <c r="G18" s="39"/>
      <c r="H18" s="39"/>
      <c r="I18" s="39"/>
      <c r="J18" s="39"/>
    </row>
    <row r="19" spans="1:12" ht="11.25">
      <c r="A19" s="28" t="s">
        <v>44</v>
      </c>
      <c r="B19" s="38">
        <f>52615000</f>
        <v>52615000</v>
      </c>
      <c r="C19" s="38">
        <v>22000000</v>
      </c>
      <c r="D19" s="38">
        <v>30000000</v>
      </c>
      <c r="E19" s="38">
        <v>12000000</v>
      </c>
      <c r="F19" s="38">
        <f t="shared" si="0"/>
        <v>116615000</v>
      </c>
      <c r="G19" s="39"/>
      <c r="H19" s="39"/>
      <c r="I19" s="39"/>
      <c r="J19" s="39"/>
      <c r="L19" s="38"/>
    </row>
    <row r="20" spans="1:10" ht="11.25">
      <c r="A20" s="28" t="s">
        <v>35</v>
      </c>
      <c r="B20" s="38">
        <v>1000000</v>
      </c>
      <c r="C20" s="38">
        <v>750000</v>
      </c>
      <c r="D20" s="38">
        <v>600000</v>
      </c>
      <c r="E20" s="38">
        <v>750000</v>
      </c>
      <c r="F20" s="38">
        <f t="shared" si="0"/>
        <v>3100000</v>
      </c>
      <c r="G20" s="39"/>
      <c r="H20" s="39"/>
      <c r="I20" s="39"/>
      <c r="J20" s="39"/>
    </row>
    <row r="21" spans="1:10" ht="11.25">
      <c r="A21" s="28" t="s">
        <v>36</v>
      </c>
      <c r="B21" s="40">
        <v>0</v>
      </c>
      <c r="C21" s="40">
        <v>20000</v>
      </c>
      <c r="D21" s="40">
        <v>25000</v>
      </c>
      <c r="E21" s="40">
        <v>1500</v>
      </c>
      <c r="F21" s="40">
        <f t="shared" si="0"/>
        <v>46500</v>
      </c>
      <c r="G21" s="39"/>
      <c r="H21" s="39"/>
      <c r="I21" s="39"/>
      <c r="J21" s="39"/>
    </row>
    <row r="22" spans="1:10" ht="11.25">
      <c r="A22" s="16" t="s">
        <v>37</v>
      </c>
      <c r="B22" s="30">
        <f>+B19+B20-B21</f>
        <v>53615000</v>
      </c>
      <c r="C22" s="30">
        <f>+C19+C20-C21</f>
        <v>22730000</v>
      </c>
      <c r="D22" s="30">
        <f>+D19+D20-D21</f>
        <v>30575000</v>
      </c>
      <c r="E22" s="30">
        <f>+E19+E20-E21</f>
        <v>12748500</v>
      </c>
      <c r="F22" s="30">
        <f>+F19+F20-F21</f>
        <v>119668500</v>
      </c>
      <c r="G22" s="39"/>
      <c r="H22" s="39"/>
      <c r="I22" s="39"/>
      <c r="J22" s="39"/>
    </row>
    <row r="23" spans="1:10" ht="11.25">
      <c r="A23" s="7"/>
      <c r="B23" s="38"/>
      <c r="C23" s="38"/>
      <c r="D23" s="38"/>
      <c r="E23" s="38"/>
      <c r="F23" s="38"/>
      <c r="G23" s="39"/>
      <c r="H23" s="39"/>
      <c r="I23" s="39"/>
      <c r="J23" s="39"/>
    </row>
    <row r="24" spans="1:10" ht="11.25">
      <c r="A24" s="16" t="s">
        <v>46</v>
      </c>
      <c r="B24" s="38">
        <v>3844400</v>
      </c>
      <c r="C24" s="38">
        <v>1869500</v>
      </c>
      <c r="D24" s="38">
        <v>2198700</v>
      </c>
      <c r="E24" s="38">
        <v>987400</v>
      </c>
      <c r="F24" s="38">
        <f>SUM(B24:E24)</f>
        <v>8900000</v>
      </c>
      <c r="G24" s="39"/>
      <c r="H24" s="39"/>
      <c r="I24" s="39"/>
      <c r="J24" s="39"/>
    </row>
    <row r="25" spans="1:10" ht="12" thickBot="1">
      <c r="A25" s="7"/>
      <c r="B25" s="38"/>
      <c r="C25" s="38"/>
      <c r="D25" s="38"/>
      <c r="E25" s="38"/>
      <c r="F25" s="38"/>
      <c r="G25" s="39"/>
      <c r="H25" s="39"/>
      <c r="I25" s="39"/>
      <c r="J25" s="39"/>
    </row>
    <row r="26" spans="1:10" ht="12" thickBot="1">
      <c r="A26" s="17" t="s">
        <v>38</v>
      </c>
      <c r="B26" s="31">
        <f>+B16-B22+B24</f>
        <v>1728527.0339292213</v>
      </c>
      <c r="C26" s="31">
        <f>+C16-C22+C24</f>
        <v>3892940</v>
      </c>
      <c r="D26" s="31">
        <f>+D16-D22+D24</f>
        <v>1282900</v>
      </c>
      <c r="E26" s="31">
        <f>+E16-E22+E24</f>
        <v>1312900</v>
      </c>
      <c r="F26" s="31">
        <f>+F16-F22+F24</f>
        <v>8217267.033929229</v>
      </c>
      <c r="G26" s="39"/>
      <c r="H26" s="39"/>
      <c r="I26" s="39"/>
      <c r="J26" s="39"/>
    </row>
    <row r="27" spans="1:10" ht="11.25">
      <c r="A27" s="16" t="s">
        <v>14</v>
      </c>
      <c r="B27" s="41">
        <f>B26/B16</f>
        <v>0.03356420066674944</v>
      </c>
      <c r="C27" s="41">
        <f>C26/C16</f>
        <v>0.1572686462972419</v>
      </c>
      <c r="D27" s="41">
        <f>D26/D16</f>
        <v>0.043254706802610995</v>
      </c>
      <c r="E27" s="41">
        <f>E26/E16</f>
        <v>0.10042068227015451</v>
      </c>
      <c r="F27" s="41">
        <f>F26/F16</f>
        <v>0.06906092416571173</v>
      </c>
      <c r="G27" s="42"/>
      <c r="H27" s="42"/>
      <c r="I27" s="42"/>
      <c r="J27" s="42"/>
    </row>
    <row r="28" spans="1:10" ht="11.25">
      <c r="A28" s="22" t="s">
        <v>39</v>
      </c>
      <c r="B28" s="43">
        <v>200000</v>
      </c>
      <c r="C28" s="43">
        <v>2000</v>
      </c>
      <c r="D28" s="43">
        <v>75000</v>
      </c>
      <c r="E28" s="43">
        <v>15000</v>
      </c>
      <c r="F28" s="43">
        <f>+SUM(B28:E28)</f>
        <v>292000</v>
      </c>
      <c r="G28" s="41"/>
      <c r="H28" s="41"/>
      <c r="I28" s="41"/>
      <c r="J28" s="41"/>
    </row>
    <row r="29" spans="2:10" ht="11.25">
      <c r="B29" s="43"/>
      <c r="C29" s="43"/>
      <c r="D29" s="43"/>
      <c r="E29" s="43"/>
      <c r="F29" s="43"/>
      <c r="G29" s="41"/>
      <c r="H29" s="41"/>
      <c r="I29" s="41"/>
      <c r="J29" s="41"/>
    </row>
    <row r="30" spans="1:10" ht="11.25">
      <c r="A30" s="7" t="s">
        <v>50</v>
      </c>
      <c r="B30" s="43"/>
      <c r="C30" s="43"/>
      <c r="D30" s="43"/>
      <c r="E30" s="43"/>
      <c r="F30" s="44">
        <v>500000</v>
      </c>
      <c r="G30" s="41"/>
      <c r="H30" s="41"/>
      <c r="I30" s="41"/>
      <c r="J30" s="41"/>
    </row>
    <row r="31" spans="1:10" ht="12" thickBot="1">
      <c r="A31" s="7" t="s">
        <v>51</v>
      </c>
      <c r="B31" s="43"/>
      <c r="C31" s="43"/>
      <c r="D31" s="43"/>
      <c r="E31" s="43"/>
      <c r="F31" s="45">
        <f>F26+F30</f>
        <v>8717267.033929229</v>
      </c>
      <c r="G31" s="41"/>
      <c r="H31" s="41"/>
      <c r="I31" s="41"/>
      <c r="J31" s="41"/>
    </row>
    <row r="32" spans="1:10" ht="12" thickTop="1">
      <c r="A32" s="7"/>
      <c r="B32" s="38"/>
      <c r="C32" s="46"/>
      <c r="D32" s="47"/>
      <c r="E32" s="41"/>
      <c r="F32" s="41"/>
      <c r="G32" s="41"/>
      <c r="H32" s="41"/>
      <c r="I32" s="41"/>
      <c r="J32" s="41"/>
    </row>
    <row r="33" spans="1:10" ht="12" thickBot="1">
      <c r="A33" s="7"/>
      <c r="C33" s="48"/>
      <c r="J33" s="39"/>
    </row>
    <row r="34" spans="1:10" ht="12" thickBot="1">
      <c r="A34" s="8" t="s">
        <v>1</v>
      </c>
      <c r="J34" s="38"/>
    </row>
    <row r="35" spans="1:7" ht="11.25">
      <c r="A35" s="7"/>
      <c r="B35" s="49"/>
      <c r="C35" s="49"/>
      <c r="D35" s="42"/>
      <c r="F35" s="50"/>
      <c r="G35" s="50"/>
    </row>
    <row r="36" spans="1:3" ht="11.25">
      <c r="A36" s="22" t="s">
        <v>52</v>
      </c>
      <c r="B36" s="38">
        <f>F16</f>
        <v>118985767.03392923</v>
      </c>
      <c r="C36" s="51"/>
    </row>
    <row r="37" spans="1:3" ht="11.25">
      <c r="A37" s="22" t="s">
        <v>27</v>
      </c>
      <c r="B37" s="38">
        <f>F31</f>
        <v>8717267.033929229</v>
      </c>
      <c r="C37" s="38"/>
    </row>
    <row r="38" spans="1:5" ht="11.25">
      <c r="A38" s="22" t="s">
        <v>14</v>
      </c>
      <c r="B38" s="41">
        <f>B37/B36</f>
        <v>0.07326310743908948</v>
      </c>
      <c r="C38" s="38"/>
      <c r="D38" s="38"/>
      <c r="E38" s="38"/>
    </row>
    <row r="39" spans="2:4" ht="11.25">
      <c r="B39" s="38"/>
      <c r="C39" s="38"/>
      <c r="D39" s="38"/>
    </row>
    <row r="40" spans="2:4" ht="11.25">
      <c r="B40" s="52"/>
      <c r="C40" s="38"/>
      <c r="D40" s="38"/>
    </row>
    <row r="41" ht="11.25">
      <c r="D41" s="38"/>
    </row>
    <row r="42" spans="1:5" ht="11.25">
      <c r="A42" s="7" t="s">
        <v>29</v>
      </c>
      <c r="B42" s="53">
        <f>IF(B37&gt;0,-SUM(E50:E54),-SUM(E59:E61))</f>
        <v>-3362907.5174024138</v>
      </c>
      <c r="D42" s="38"/>
      <c r="E42" s="38"/>
    </row>
    <row r="43" spans="1:5" ht="11.25">
      <c r="A43" s="95"/>
      <c r="B43" s="53"/>
      <c r="D43" s="38"/>
      <c r="E43" s="38"/>
    </row>
    <row r="44" spans="1:4" ht="11.25">
      <c r="A44" s="7" t="s">
        <v>0</v>
      </c>
      <c r="B44" s="39">
        <f>(B42+B43)/0.98-(B42+B43)</f>
        <v>-68630.76566127362</v>
      </c>
      <c r="C44" s="54"/>
      <c r="D44" s="38"/>
    </row>
    <row r="45" spans="1:4" ht="11.25">
      <c r="A45" s="55" t="s">
        <v>60</v>
      </c>
      <c r="B45" s="39">
        <v>0</v>
      </c>
      <c r="C45" s="54"/>
      <c r="D45" s="38"/>
    </row>
    <row r="46" spans="1:2" ht="12" thickBot="1">
      <c r="A46" s="7" t="s">
        <v>28</v>
      </c>
      <c r="B46" s="56">
        <f>SUM(B42:B45)</f>
        <v>-3431538.2830636874</v>
      </c>
    </row>
    <row r="47" ht="12" thickTop="1"/>
    <row r="48" spans="2:9" ht="11.25">
      <c r="B48" s="38"/>
      <c r="C48" s="57"/>
      <c r="D48" s="57" t="s">
        <v>17</v>
      </c>
      <c r="E48" s="57"/>
      <c r="F48" s="57"/>
      <c r="G48" s="57"/>
      <c r="I48" s="58"/>
    </row>
    <row r="49" spans="1:9" ht="11.25">
      <c r="A49" s="22" t="s">
        <v>15</v>
      </c>
      <c r="B49" s="22" t="s">
        <v>2</v>
      </c>
      <c r="C49" s="57" t="s">
        <v>3</v>
      </c>
      <c r="D49" s="57" t="s">
        <v>18</v>
      </c>
      <c r="E49" s="57" t="s">
        <v>4</v>
      </c>
      <c r="F49" s="57"/>
      <c r="G49" s="57" t="s">
        <v>19</v>
      </c>
      <c r="I49" s="59"/>
    </row>
    <row r="50" spans="2:9" ht="11.25">
      <c r="B50" s="24" t="s">
        <v>16</v>
      </c>
      <c r="C50" s="60">
        <v>0</v>
      </c>
      <c r="D50" s="61">
        <f>IF(G50&lt;=0,0,IF($B$36*0.03&gt;G50,G50,$B$36*0.03))</f>
        <v>3569573.0110178767</v>
      </c>
      <c r="E50" s="61">
        <f>+C50*D50</f>
        <v>0</v>
      </c>
      <c r="G50" s="62">
        <f>+IF(B37&lt;0,0,B37)</f>
        <v>8717267.033929229</v>
      </c>
      <c r="H50" s="62"/>
      <c r="I50" s="61"/>
    </row>
    <row r="51" spans="2:9" ht="11.25">
      <c r="B51" s="24" t="s">
        <v>9</v>
      </c>
      <c r="C51" s="60">
        <v>0.5</v>
      </c>
      <c r="D51" s="61">
        <f>IF(G51&lt;=0,0,IF($B$36*0.03&gt;G51,G51,$B$36*0.03))</f>
        <v>3569573.0110178767</v>
      </c>
      <c r="E51" s="61">
        <f>+C51*D51</f>
        <v>1784786.5055089383</v>
      </c>
      <c r="G51" s="62">
        <f>+G50-D50</f>
        <v>5147694.022911352</v>
      </c>
      <c r="H51" s="62"/>
      <c r="I51" s="61"/>
    </row>
    <row r="52" spans="2:9" ht="11.25">
      <c r="B52" s="24" t="s">
        <v>10</v>
      </c>
      <c r="C52" s="60">
        <v>1</v>
      </c>
      <c r="D52" s="61">
        <f>IF(G52&lt;=0,0,IF($B$36*0.94&gt;G52,G52,$B$36*0.94))</f>
        <v>1578121.0118934754</v>
      </c>
      <c r="E52" s="61">
        <f>+C52*D52</f>
        <v>1578121.0118934754</v>
      </c>
      <c r="G52" s="62">
        <f>+G51-D51</f>
        <v>1578121.0118934754</v>
      </c>
      <c r="H52" s="52"/>
      <c r="I52" s="61"/>
    </row>
    <row r="53" spans="2:9" ht="11.25">
      <c r="B53" s="24"/>
      <c r="C53" s="60"/>
      <c r="D53" s="61"/>
      <c r="E53" s="61"/>
      <c r="G53" s="62"/>
      <c r="H53" s="62"/>
      <c r="I53" s="61"/>
    </row>
    <row r="54" spans="2:9" ht="11.25">
      <c r="B54" s="24"/>
      <c r="C54" s="60"/>
      <c r="D54" s="61"/>
      <c r="E54" s="61"/>
      <c r="G54" s="62"/>
      <c r="H54" s="62"/>
      <c r="I54" s="61"/>
    </row>
    <row r="55" spans="2:5" ht="11.25">
      <c r="B55" s="24"/>
      <c r="C55" s="24"/>
      <c r="E55" s="62"/>
    </row>
    <row r="57" spans="2:9" ht="11.25">
      <c r="B57" s="38"/>
      <c r="C57" s="57"/>
      <c r="D57" s="57" t="s">
        <v>5</v>
      </c>
      <c r="E57" s="57"/>
      <c r="F57" s="57"/>
      <c r="G57" s="57"/>
      <c r="I57" s="63"/>
    </row>
    <row r="58" spans="1:9" ht="11.25">
      <c r="A58" s="22" t="s">
        <v>15</v>
      </c>
      <c r="B58" s="22" t="s">
        <v>6</v>
      </c>
      <c r="C58" s="57" t="s">
        <v>3</v>
      </c>
      <c r="D58" s="57" t="s">
        <v>7</v>
      </c>
      <c r="E58" s="57" t="s">
        <v>8</v>
      </c>
      <c r="F58" s="57"/>
      <c r="G58" s="57" t="s">
        <v>19</v>
      </c>
      <c r="I58" s="63"/>
    </row>
    <row r="59" spans="2:9" ht="11.25">
      <c r="B59" s="24" t="s">
        <v>55</v>
      </c>
      <c r="C59" s="60">
        <v>0</v>
      </c>
      <c r="D59" s="61">
        <f>IF(G59&gt;0,0,IF(-$B$36*0.01&lt;G59,G59,-$B$36*0.01))</f>
        <v>0</v>
      </c>
      <c r="E59" s="61">
        <f>+D59*C59</f>
        <v>0</v>
      </c>
      <c r="G59" s="62">
        <f>+IF(B37&gt;0,0,B37)</f>
        <v>0</v>
      </c>
      <c r="H59" s="62"/>
      <c r="I59" s="61"/>
    </row>
    <row r="60" spans="2:9" ht="11.25">
      <c r="B60" s="24" t="s">
        <v>56</v>
      </c>
      <c r="C60" s="60">
        <v>1</v>
      </c>
      <c r="D60" s="61">
        <f>IF(G60&gt;0,0,IF(-$B$36*0.99&lt;G60,G60,-$B$36*0.99))</f>
        <v>0</v>
      </c>
      <c r="E60" s="61">
        <f>+D60*C60</f>
        <v>0</v>
      </c>
      <c r="G60" s="62">
        <f>+G59-D59</f>
        <v>0</v>
      </c>
      <c r="H60" s="62"/>
      <c r="I60" s="61"/>
    </row>
    <row r="61" spans="2:9" ht="11.25">
      <c r="B61" s="24"/>
      <c r="C61" s="60"/>
      <c r="D61" s="61"/>
      <c r="E61" s="61"/>
      <c r="G61" s="62"/>
      <c r="H61" s="62"/>
      <c r="I61" s="61"/>
    </row>
    <row r="62" spans="2:8" ht="11.25">
      <c r="B62" s="24"/>
      <c r="C62" s="60"/>
      <c r="D62" s="61"/>
      <c r="E62" s="61"/>
      <c r="H62" s="62"/>
    </row>
    <row r="63" spans="2:8" ht="11.25">
      <c r="B63" s="24"/>
      <c r="C63" s="60"/>
      <c r="D63" s="61"/>
      <c r="E63" s="61"/>
      <c r="H63" s="62"/>
    </row>
    <row r="64" ht="12" thickBot="1"/>
    <row r="65" spans="1:8" ht="11.25">
      <c r="A65" s="13" t="s">
        <v>11</v>
      </c>
      <c r="B65" s="64"/>
      <c r="C65" s="64"/>
      <c r="D65" s="64"/>
      <c r="E65" s="64"/>
      <c r="F65" s="64"/>
      <c r="G65" s="64"/>
      <c r="H65" s="65"/>
    </row>
    <row r="66" spans="1:8" ht="11.25">
      <c r="A66" s="66"/>
      <c r="B66" s="58"/>
      <c r="C66" s="58"/>
      <c r="D66" s="58"/>
      <c r="E66" s="58"/>
      <c r="F66" s="58"/>
      <c r="G66" s="58"/>
      <c r="H66" s="67"/>
    </row>
    <row r="67" spans="1:8" ht="11.25">
      <c r="A67" s="68" t="s">
        <v>20</v>
      </c>
      <c r="B67" s="69"/>
      <c r="C67" s="69"/>
      <c r="D67" s="69"/>
      <c r="E67" s="69"/>
      <c r="F67" s="69"/>
      <c r="G67" s="69"/>
      <c r="H67" s="67"/>
    </row>
    <row r="68" spans="1:8" ht="11.25">
      <c r="A68" s="68" t="s">
        <v>48</v>
      </c>
      <c r="B68" s="69"/>
      <c r="C68" s="69"/>
      <c r="D68" s="69"/>
      <c r="E68" s="69"/>
      <c r="F68" s="69"/>
      <c r="G68" s="69"/>
      <c r="H68" s="67"/>
    </row>
    <row r="69" spans="1:8" ht="11.25">
      <c r="A69" s="68" t="s">
        <v>30</v>
      </c>
      <c r="B69" s="69"/>
      <c r="C69" s="69"/>
      <c r="D69" s="69"/>
      <c r="E69" s="69"/>
      <c r="F69" s="69"/>
      <c r="G69" s="69"/>
      <c r="H69" s="67"/>
    </row>
    <row r="70" spans="1:8" ht="11.25">
      <c r="A70" s="68" t="s">
        <v>61</v>
      </c>
      <c r="B70" s="69"/>
      <c r="C70" s="69"/>
      <c r="D70" s="69"/>
      <c r="E70" s="69"/>
      <c r="F70" s="69"/>
      <c r="G70" s="69"/>
      <c r="H70" s="67"/>
    </row>
    <row r="71" spans="1:8" ht="11.25">
      <c r="A71" s="70" t="s">
        <v>43</v>
      </c>
      <c r="B71" s="71"/>
      <c r="C71" s="71"/>
      <c r="D71" s="71"/>
      <c r="E71" s="71"/>
      <c r="F71" s="71"/>
      <c r="G71" s="71"/>
      <c r="H71" s="72"/>
    </row>
    <row r="72" spans="1:8" ht="11.25">
      <c r="A72" s="73" t="s">
        <v>40</v>
      </c>
      <c r="B72" s="58"/>
      <c r="C72" s="58"/>
      <c r="D72" s="58"/>
      <c r="E72" s="58"/>
      <c r="F72" s="58"/>
      <c r="G72" s="58"/>
      <c r="H72" s="67"/>
    </row>
    <row r="73" spans="1:8" ht="11.25">
      <c r="A73" s="66" t="s">
        <v>62</v>
      </c>
      <c r="B73" s="69"/>
      <c r="C73" s="69"/>
      <c r="D73" s="69"/>
      <c r="E73" s="69"/>
      <c r="F73" s="69"/>
      <c r="G73" s="69"/>
      <c r="H73" s="67"/>
    </row>
    <row r="74" spans="1:8" ht="11.25">
      <c r="A74" s="73" t="s">
        <v>41</v>
      </c>
      <c r="B74" s="69"/>
      <c r="C74" s="69"/>
      <c r="D74" s="69"/>
      <c r="E74" s="69"/>
      <c r="F74" s="69"/>
      <c r="G74" s="69"/>
      <c r="H74" s="67"/>
    </row>
    <row r="75" spans="1:8" ht="11.25">
      <c r="A75" s="74" t="s">
        <v>63</v>
      </c>
      <c r="B75" s="75"/>
      <c r="C75" s="75"/>
      <c r="D75" s="75"/>
      <c r="E75" s="75"/>
      <c r="F75" s="75"/>
      <c r="G75" s="75"/>
      <c r="H75" s="76"/>
    </row>
    <row r="76" spans="1:8" ht="12" thickBot="1">
      <c r="A76" s="77" t="s">
        <v>42</v>
      </c>
      <c r="B76" s="78"/>
      <c r="C76" s="78"/>
      <c r="D76" s="78"/>
      <c r="E76" s="78"/>
      <c r="F76" s="78"/>
      <c r="G76" s="78"/>
      <c r="H76" s="7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  <headerFooter>
    <oddFooter>&amp;L&amp;"Times New Roman,Bold"Effective Date: 10/01/17
Revision Date: 05/03/18&amp;C&amp;"Times New Roman,Bold"&amp;12 312 CYE 14 through CYE 18, Attachment A,  Page &amp;P of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view="pageLayout" workbookViewId="0" topLeftCell="A1">
      <selection activeCell="A1" sqref="A1:IV1"/>
    </sheetView>
  </sheetViews>
  <sheetFormatPr defaultColWidth="9.140625" defaultRowHeight="12.75"/>
  <cols>
    <col min="1" max="1" width="63.00390625" style="22" customWidth="1"/>
    <col min="2" max="2" width="15.140625" style="22" customWidth="1"/>
    <col min="3" max="3" width="18.140625" style="22" bestFit="1" customWidth="1"/>
    <col min="4" max="4" width="15.57421875" style="22" bestFit="1" customWidth="1"/>
    <col min="5" max="5" width="13.00390625" style="22" customWidth="1"/>
    <col min="6" max="6" width="13.8515625" style="22" bestFit="1" customWidth="1"/>
    <col min="7" max="7" width="13.00390625" style="22" customWidth="1"/>
    <col min="8" max="8" width="15.7109375" style="22" customWidth="1"/>
    <col min="9" max="9" width="13.8515625" style="22" bestFit="1" customWidth="1"/>
    <col min="10" max="10" width="14.28125" style="22" bestFit="1" customWidth="1"/>
    <col min="11" max="11" width="13.8515625" style="22" bestFit="1" customWidth="1"/>
    <col min="12" max="12" width="9.140625" style="22" customWidth="1"/>
    <col min="13" max="13" width="12.8515625" style="22" bestFit="1" customWidth="1"/>
    <col min="14" max="16384" width="9.140625" style="22" customWidth="1"/>
  </cols>
  <sheetData>
    <row r="1" spans="1:14" ht="12.75">
      <c r="A1" s="104" t="s">
        <v>57</v>
      </c>
      <c r="B1" s="104"/>
      <c r="C1" s="104"/>
      <c r="D1" s="104"/>
      <c r="E1" s="104"/>
      <c r="F1" s="104"/>
      <c r="G1" s="20"/>
      <c r="H1" s="20"/>
      <c r="I1" s="20"/>
      <c r="J1" s="20"/>
      <c r="K1" s="20"/>
      <c r="L1" s="96"/>
      <c r="M1" s="96"/>
      <c r="N1" s="96"/>
    </row>
    <row r="2" spans="1:14" ht="12.75">
      <c r="A2" s="15" t="s">
        <v>47</v>
      </c>
      <c r="B2" s="14"/>
      <c r="C2" s="26"/>
      <c r="D2" s="14"/>
      <c r="E2" s="14"/>
      <c r="F2" s="14"/>
      <c r="G2" s="19"/>
      <c r="H2" s="19"/>
      <c r="I2" s="19"/>
      <c r="J2" s="19"/>
      <c r="K2" s="19"/>
      <c r="L2" s="96"/>
      <c r="M2" s="96"/>
      <c r="N2" s="96"/>
    </row>
    <row r="3" spans="1:14" ht="11.25">
      <c r="A3" s="2" t="s">
        <v>54</v>
      </c>
      <c r="B3" s="1"/>
      <c r="C3" s="1"/>
      <c r="D3" s="1"/>
      <c r="E3" s="1"/>
      <c r="F3" s="1"/>
      <c r="G3" s="20"/>
      <c r="H3" s="20"/>
      <c r="I3" s="20"/>
      <c r="J3" s="20"/>
      <c r="K3" s="20"/>
      <c r="L3" s="96"/>
      <c r="M3" s="96"/>
      <c r="N3" s="96"/>
    </row>
    <row r="4" spans="1:14" ht="11.25">
      <c r="A4" s="14" t="s">
        <v>13</v>
      </c>
      <c r="B4" s="14"/>
      <c r="C4" s="26"/>
      <c r="D4" s="14"/>
      <c r="E4" s="14"/>
      <c r="F4" s="14"/>
      <c r="G4" s="19"/>
      <c r="H4" s="19"/>
      <c r="I4" s="19"/>
      <c r="J4" s="19"/>
      <c r="K4" s="19"/>
      <c r="L4" s="96"/>
      <c r="M4" s="96"/>
      <c r="N4" s="96"/>
    </row>
    <row r="5" spans="1:11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7" ht="12" thickBot="1"/>
    <row r="8" spans="1:11" ht="34.5" thickBot="1">
      <c r="A8" s="3"/>
      <c r="B8" s="23" t="s">
        <v>24</v>
      </c>
      <c r="C8" s="23" t="s">
        <v>25</v>
      </c>
      <c r="D8" s="23" t="s">
        <v>26</v>
      </c>
      <c r="E8" s="23" t="s">
        <v>22</v>
      </c>
      <c r="F8" s="23" t="s">
        <v>21</v>
      </c>
      <c r="G8" s="5"/>
      <c r="H8" s="6"/>
      <c r="I8" s="5"/>
      <c r="J8" s="5"/>
      <c r="K8" s="5"/>
    </row>
    <row r="9" spans="1:11" ht="11.25">
      <c r="A9" s="4"/>
      <c r="B9" s="5"/>
      <c r="C9" s="5"/>
      <c r="D9" s="5"/>
      <c r="E9" s="5"/>
      <c r="F9" s="5"/>
      <c r="G9" s="5"/>
      <c r="H9" s="6"/>
      <c r="I9" s="5"/>
      <c r="J9" s="5"/>
      <c r="K9" s="5"/>
    </row>
    <row r="10" spans="1:11" ht="11.25">
      <c r="A10" s="4" t="s">
        <v>31</v>
      </c>
      <c r="B10" s="5"/>
      <c r="C10" s="5"/>
      <c r="D10" s="5"/>
      <c r="E10" s="5"/>
      <c r="F10" s="5"/>
      <c r="G10" s="5"/>
      <c r="H10" s="6"/>
      <c r="I10" s="5"/>
      <c r="J10" s="5"/>
      <c r="K10" s="5"/>
    </row>
    <row r="11" spans="1:11" ht="11.25">
      <c r="A11" s="28" t="s">
        <v>31</v>
      </c>
      <c r="B11" s="38">
        <v>58400000</v>
      </c>
      <c r="C11" s="38">
        <v>28400000</v>
      </c>
      <c r="D11" s="38">
        <v>33400000</v>
      </c>
      <c r="E11" s="38">
        <v>15000000</v>
      </c>
      <c r="F11" s="38">
        <f>SUM(B11:E11)</f>
        <v>135200000</v>
      </c>
      <c r="G11" s="39"/>
      <c r="H11" s="39"/>
      <c r="I11" s="39"/>
      <c r="J11" s="39"/>
      <c r="K11" s="39"/>
    </row>
    <row r="12" spans="1:11" ht="11.25">
      <c r="A12" s="29" t="s">
        <v>32</v>
      </c>
      <c r="B12" s="38">
        <v>5032072.966070779</v>
      </c>
      <c r="C12" s="38">
        <v>2737760</v>
      </c>
      <c r="D12" s="38">
        <v>2672000</v>
      </c>
      <c r="E12" s="38">
        <v>1446000</v>
      </c>
      <c r="F12" s="38">
        <f aca="true" t="shared" si="0" ref="F12:F21">SUM(B12:E12)</f>
        <v>11887832.966070779</v>
      </c>
      <c r="G12" s="39"/>
      <c r="H12" s="39"/>
      <c r="I12" s="39"/>
      <c r="J12" s="39"/>
      <c r="K12" s="39"/>
    </row>
    <row r="13" spans="1:11" ht="11.25">
      <c r="A13" s="29" t="s">
        <v>49</v>
      </c>
      <c r="B13" s="38">
        <v>700800</v>
      </c>
      <c r="C13" s="38">
        <v>340800</v>
      </c>
      <c r="D13" s="38">
        <v>400800</v>
      </c>
      <c r="E13" s="38">
        <v>180000</v>
      </c>
      <c r="F13" s="38">
        <f t="shared" si="0"/>
        <v>1622400</v>
      </c>
      <c r="G13" s="39"/>
      <c r="H13" s="39"/>
      <c r="I13" s="39"/>
      <c r="J13" s="39"/>
      <c r="K13" s="39"/>
    </row>
    <row r="14" spans="1:13" ht="11.25">
      <c r="A14" s="28" t="s">
        <v>45</v>
      </c>
      <c r="B14" s="40">
        <f>B11*0.02</f>
        <v>1168000</v>
      </c>
      <c r="C14" s="40">
        <f>C11*0.02</f>
        <v>568000</v>
      </c>
      <c r="D14" s="40">
        <f>D11*0.02</f>
        <v>668000</v>
      </c>
      <c r="E14" s="40">
        <f>E11*0.02</f>
        <v>300000</v>
      </c>
      <c r="F14" s="40">
        <f t="shared" si="0"/>
        <v>2704000</v>
      </c>
      <c r="G14" s="39"/>
      <c r="H14" s="39"/>
      <c r="I14" s="39"/>
      <c r="J14" s="39"/>
      <c r="K14" s="39"/>
      <c r="M14" s="38"/>
    </row>
    <row r="15" spans="1:11" ht="11.25">
      <c r="A15" s="16" t="s">
        <v>33</v>
      </c>
      <c r="B15" s="30">
        <f>B11-SUM(B12:B14)</f>
        <v>51499127.03392922</v>
      </c>
      <c r="C15" s="30">
        <f>C11-SUM(C12:C14)</f>
        <v>24753440</v>
      </c>
      <c r="D15" s="30">
        <f>D11-SUM(D12:D14)</f>
        <v>29659200</v>
      </c>
      <c r="E15" s="30">
        <f>E11-SUM(E12:E14)</f>
        <v>13074000</v>
      </c>
      <c r="F15" s="30">
        <f>F11-SUM(F12:F14)</f>
        <v>118985767.03392923</v>
      </c>
      <c r="G15" s="39"/>
      <c r="H15" s="39"/>
      <c r="I15" s="39"/>
      <c r="J15" s="39"/>
      <c r="K15" s="39"/>
    </row>
    <row r="16" spans="1:11" ht="11.25">
      <c r="A16" s="16"/>
      <c r="B16" s="30"/>
      <c r="C16" s="30"/>
      <c r="D16" s="30"/>
      <c r="E16" s="30"/>
      <c r="F16" s="30"/>
      <c r="G16" s="39"/>
      <c r="H16" s="39"/>
      <c r="I16" s="39"/>
      <c r="J16" s="39"/>
      <c r="K16" s="39"/>
    </row>
    <row r="17" spans="1:11" ht="11.25">
      <c r="A17" s="16" t="s">
        <v>34</v>
      </c>
      <c r="B17" s="38"/>
      <c r="C17" s="38"/>
      <c r="D17" s="38"/>
      <c r="E17" s="38"/>
      <c r="F17" s="38"/>
      <c r="G17" s="39"/>
      <c r="H17" s="39"/>
      <c r="I17" s="39"/>
      <c r="J17" s="39"/>
      <c r="K17" s="39"/>
    </row>
    <row r="18" spans="1:13" ht="11.25">
      <c r="A18" s="28" t="s">
        <v>44</v>
      </c>
      <c r="B18" s="38">
        <f>59800000</f>
        <v>59800000</v>
      </c>
      <c r="C18" s="38">
        <v>27800000</v>
      </c>
      <c r="D18" s="38">
        <v>30000000</v>
      </c>
      <c r="E18" s="38">
        <v>13750000</v>
      </c>
      <c r="F18" s="38">
        <f t="shared" si="0"/>
        <v>131350000</v>
      </c>
      <c r="G18" s="39"/>
      <c r="H18" s="39"/>
      <c r="I18" s="39"/>
      <c r="J18" s="39"/>
      <c r="K18" s="39"/>
      <c r="M18" s="38"/>
    </row>
    <row r="19" spans="1:11" ht="11.25">
      <c r="A19" s="28" t="s">
        <v>35</v>
      </c>
      <c r="B19" s="38">
        <v>1000000</v>
      </c>
      <c r="C19" s="38">
        <v>750000</v>
      </c>
      <c r="D19" s="38">
        <v>600000</v>
      </c>
      <c r="E19" s="38">
        <v>750000</v>
      </c>
      <c r="F19" s="38">
        <f t="shared" si="0"/>
        <v>3100000</v>
      </c>
      <c r="G19" s="39"/>
      <c r="H19" s="39"/>
      <c r="I19" s="39"/>
      <c r="J19" s="39"/>
      <c r="K19" s="39"/>
    </row>
    <row r="20" spans="1:11" ht="11.25">
      <c r="A20" s="28" t="s">
        <v>36</v>
      </c>
      <c r="B20" s="38">
        <v>0</v>
      </c>
      <c r="C20" s="38">
        <v>1500</v>
      </c>
      <c r="D20" s="38">
        <v>0</v>
      </c>
      <c r="E20" s="38">
        <v>0</v>
      </c>
      <c r="F20" s="38">
        <f t="shared" si="0"/>
        <v>1500</v>
      </c>
      <c r="G20" s="39"/>
      <c r="H20" s="39"/>
      <c r="I20" s="39"/>
      <c r="J20" s="39"/>
      <c r="K20" s="39"/>
    </row>
    <row r="21" spans="1:11" ht="11.25">
      <c r="A21" s="16" t="s">
        <v>37</v>
      </c>
      <c r="B21" s="30">
        <f>B18+B19-B20</f>
        <v>60800000</v>
      </c>
      <c r="C21" s="30">
        <f>C18+C19-C20</f>
        <v>28548500</v>
      </c>
      <c r="D21" s="30">
        <f>D18+D19-D20</f>
        <v>30600000</v>
      </c>
      <c r="E21" s="30">
        <f>E18+E19-E20</f>
        <v>14500000</v>
      </c>
      <c r="F21" s="38">
        <f t="shared" si="0"/>
        <v>134448500</v>
      </c>
      <c r="G21" s="39"/>
      <c r="H21" s="39"/>
      <c r="I21" s="39"/>
      <c r="J21" s="39"/>
      <c r="K21" s="39"/>
    </row>
    <row r="22" spans="1:11" ht="11.25">
      <c r="A22" s="7"/>
      <c r="B22" s="38"/>
      <c r="C22" s="38"/>
      <c r="D22" s="38"/>
      <c r="E22" s="38"/>
      <c r="F22" s="38"/>
      <c r="G22" s="39"/>
      <c r="H22" s="39"/>
      <c r="I22" s="39"/>
      <c r="J22" s="39"/>
      <c r="K22" s="39"/>
    </row>
    <row r="23" spans="1:11" ht="11.25">
      <c r="A23" s="16" t="s">
        <v>46</v>
      </c>
      <c r="B23" s="38">
        <v>3844400</v>
      </c>
      <c r="C23" s="38">
        <v>1869500</v>
      </c>
      <c r="D23" s="38">
        <v>2198700</v>
      </c>
      <c r="E23" s="38">
        <v>987400</v>
      </c>
      <c r="F23" s="38">
        <f>SUM(B23:E23)</f>
        <v>8900000</v>
      </c>
      <c r="G23" s="39"/>
      <c r="H23" s="39"/>
      <c r="I23" s="39"/>
      <c r="J23" s="39"/>
      <c r="K23" s="39"/>
    </row>
    <row r="24" spans="1:11" ht="12" thickBot="1">
      <c r="A24" s="7"/>
      <c r="B24" s="38"/>
      <c r="C24" s="38"/>
      <c r="D24" s="38"/>
      <c r="E24" s="38"/>
      <c r="F24" s="38"/>
      <c r="G24" s="39"/>
      <c r="H24" s="39"/>
      <c r="I24" s="39"/>
      <c r="J24" s="39"/>
      <c r="K24" s="39"/>
    </row>
    <row r="25" spans="1:11" ht="12" thickBot="1">
      <c r="A25" s="17" t="s">
        <v>38</v>
      </c>
      <c r="B25" s="31">
        <f>+B15-B21+B23</f>
        <v>-5456472.966070779</v>
      </c>
      <c r="C25" s="31">
        <f>+C15-C21+C23</f>
        <v>-1925560</v>
      </c>
      <c r="D25" s="31">
        <f>+D15-D21+D23</f>
        <v>1257900</v>
      </c>
      <c r="E25" s="31">
        <f>+E15-E21+E23</f>
        <v>-438600</v>
      </c>
      <c r="F25" s="31">
        <f>+F15-F21+F23</f>
        <v>-6562732.966070771</v>
      </c>
      <c r="G25" s="39"/>
      <c r="H25" s="39"/>
      <c r="I25" s="39"/>
      <c r="J25" s="39"/>
      <c r="K25" s="39"/>
    </row>
    <row r="26" spans="1:11" ht="11.25">
      <c r="A26" s="16" t="s">
        <v>14</v>
      </c>
      <c r="B26" s="41">
        <f>B25/B15</f>
        <v>-0.10595272736324025</v>
      </c>
      <c r="C26" s="41">
        <f>C25/C15</f>
        <v>-0.07778959207285936</v>
      </c>
      <c r="D26" s="41">
        <f>D25/D15</f>
        <v>0.042411798025570484</v>
      </c>
      <c r="E26" s="41">
        <f>E25/E15</f>
        <v>-0.033547498852684716</v>
      </c>
      <c r="F26" s="41">
        <f>F25/F15</f>
        <v>-0.055155613395334785</v>
      </c>
      <c r="G26" s="42"/>
      <c r="H26" s="42"/>
      <c r="I26" s="42"/>
      <c r="J26" s="42"/>
      <c r="K26" s="42"/>
    </row>
    <row r="27" spans="1:11" ht="11.25">
      <c r="A27" s="22" t="s">
        <v>39</v>
      </c>
      <c r="B27" s="43">
        <v>200000</v>
      </c>
      <c r="C27" s="43">
        <v>2000</v>
      </c>
      <c r="D27" s="43">
        <v>75000</v>
      </c>
      <c r="E27" s="43">
        <v>15000</v>
      </c>
      <c r="F27" s="43">
        <f>+SUM(B27:E27)</f>
        <v>292000</v>
      </c>
      <c r="G27" s="41"/>
      <c r="H27" s="41"/>
      <c r="I27" s="41"/>
      <c r="J27" s="41"/>
      <c r="K27" s="41"/>
    </row>
    <row r="28" spans="1:11" ht="11.25">
      <c r="A28" s="7"/>
      <c r="B28" s="38"/>
      <c r="C28" s="46"/>
      <c r="D28" s="47"/>
      <c r="E28" s="41"/>
      <c r="F28" s="41"/>
      <c r="G28" s="41"/>
      <c r="H28" s="41"/>
      <c r="I28" s="41"/>
      <c r="J28" s="41"/>
      <c r="K28" s="41"/>
    </row>
    <row r="29" spans="1:11" ht="11.25">
      <c r="A29" s="7" t="s">
        <v>50</v>
      </c>
      <c r="B29" s="43"/>
      <c r="C29" s="43"/>
      <c r="D29" s="43"/>
      <c r="E29" s="43"/>
      <c r="F29" s="44">
        <v>500000</v>
      </c>
      <c r="G29" s="41"/>
      <c r="H29" s="41"/>
      <c r="I29" s="41"/>
      <c r="J29" s="41"/>
      <c r="K29" s="41"/>
    </row>
    <row r="30" spans="1:11" ht="12" thickBot="1">
      <c r="A30" s="7" t="s">
        <v>51</v>
      </c>
      <c r="B30" s="43"/>
      <c r="C30" s="43"/>
      <c r="D30" s="43"/>
      <c r="E30" s="43"/>
      <c r="F30" s="45">
        <f>F25+F29</f>
        <v>-6062732.966070771</v>
      </c>
      <c r="G30" s="41"/>
      <c r="H30" s="41"/>
      <c r="I30" s="41"/>
      <c r="J30" s="41"/>
      <c r="K30" s="41"/>
    </row>
    <row r="31" spans="1:11" ht="12.75" thickBot="1" thickTop="1">
      <c r="A31" s="7"/>
      <c r="C31" s="48"/>
      <c r="K31" s="39"/>
    </row>
    <row r="32" spans="1:11" ht="12" thickBot="1">
      <c r="A32" s="8" t="s">
        <v>1</v>
      </c>
      <c r="K32" s="38"/>
    </row>
    <row r="33" spans="1:7" ht="11.25">
      <c r="A33" s="7"/>
      <c r="B33" s="49"/>
      <c r="C33" s="49"/>
      <c r="D33" s="42"/>
      <c r="F33" s="50"/>
      <c r="G33" s="50"/>
    </row>
    <row r="34" spans="1:13" ht="12.75">
      <c r="A34" s="22" t="s">
        <v>52</v>
      </c>
      <c r="B34" s="38">
        <f>F15</f>
        <v>118985767.03392923</v>
      </c>
      <c r="C34" s="98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12.75">
      <c r="A35" s="22" t="s">
        <v>27</v>
      </c>
      <c r="B35" s="38">
        <f>F30</f>
        <v>-6062732.966070771</v>
      </c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2.75">
      <c r="A36" s="22" t="s">
        <v>14</v>
      </c>
      <c r="B36" s="41">
        <f>B35/B34</f>
        <v>-0.05095343012195703</v>
      </c>
      <c r="C36" s="99"/>
      <c r="D36" s="99"/>
      <c r="E36" s="99"/>
      <c r="F36" s="80"/>
      <c r="G36" s="80"/>
      <c r="H36" s="80"/>
      <c r="I36" s="80"/>
      <c r="J36" s="80"/>
      <c r="K36" s="80"/>
      <c r="L36" s="80"/>
      <c r="M36" s="80"/>
    </row>
    <row r="37" spans="2:13" ht="12.75">
      <c r="B37" s="38"/>
      <c r="C37" s="99"/>
      <c r="D37" s="99"/>
      <c r="E37" s="80"/>
      <c r="F37" s="80"/>
      <c r="G37" s="80"/>
      <c r="H37" s="80"/>
      <c r="I37" s="80"/>
      <c r="J37" s="80"/>
      <c r="K37" s="80"/>
      <c r="L37" s="80"/>
      <c r="M37" s="80"/>
    </row>
    <row r="38" spans="2:13" ht="12.75">
      <c r="B38" s="52"/>
      <c r="C38" s="99"/>
      <c r="D38" s="99"/>
      <c r="E38" s="80"/>
      <c r="F38" s="80"/>
      <c r="G38" s="80"/>
      <c r="H38" s="80"/>
      <c r="I38" s="80"/>
      <c r="J38" s="80"/>
      <c r="K38" s="80"/>
      <c r="L38" s="80"/>
      <c r="M38" s="80"/>
    </row>
    <row r="39" spans="3:13" ht="12.75">
      <c r="C39" s="80"/>
      <c r="D39" s="99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2.75">
      <c r="A40" s="7" t="s">
        <v>29</v>
      </c>
      <c r="B40" s="53">
        <f>IF(B35&gt;0,-SUM(E48:E52),-SUM(E57:E59))</f>
        <v>4872875.295731479</v>
      </c>
      <c r="C40" s="80"/>
      <c r="D40" s="99"/>
      <c r="E40" s="99"/>
      <c r="F40" s="80"/>
      <c r="G40" s="80"/>
      <c r="H40" s="80"/>
      <c r="I40" s="80"/>
      <c r="J40" s="80"/>
      <c r="K40" s="80"/>
      <c r="L40" s="80"/>
      <c r="M40" s="80"/>
    </row>
    <row r="41" spans="1:13" ht="12.75">
      <c r="A41" s="95"/>
      <c r="B41" s="53"/>
      <c r="C41" s="80"/>
      <c r="D41" s="99"/>
      <c r="E41" s="99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7" t="s">
        <v>0</v>
      </c>
      <c r="B42" s="39">
        <f>(B40+B41)/0.98-(B40+B41)</f>
        <v>99446.4346067654</v>
      </c>
      <c r="C42" s="100"/>
      <c r="D42" s="99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.75">
      <c r="A43" s="55" t="s">
        <v>60</v>
      </c>
      <c r="B43" s="39">
        <v>0</v>
      </c>
      <c r="C43" s="100"/>
      <c r="D43" s="99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3.5" thickBot="1">
      <c r="A44" s="7" t="s">
        <v>28</v>
      </c>
      <c r="B44" s="56">
        <f>SUM(B40:B43)</f>
        <v>4972321.730338245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3:13" ht="13.5" thickTop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2:10" ht="12">
      <c r="B46" s="38"/>
      <c r="C46" s="57"/>
      <c r="D46" s="57" t="s">
        <v>17</v>
      </c>
      <c r="E46" s="57"/>
      <c r="F46" s="57"/>
      <c r="G46" s="57"/>
      <c r="J46" s="10"/>
    </row>
    <row r="47" spans="1:10" ht="12">
      <c r="A47" s="22" t="s">
        <v>15</v>
      </c>
      <c r="B47" s="22" t="s">
        <v>2</v>
      </c>
      <c r="C47" s="57" t="s">
        <v>3</v>
      </c>
      <c r="D47" s="57" t="s">
        <v>18</v>
      </c>
      <c r="E47" s="57" t="s">
        <v>4</v>
      </c>
      <c r="F47" s="57"/>
      <c r="G47" s="57" t="s">
        <v>19</v>
      </c>
      <c r="J47" s="9"/>
    </row>
    <row r="48" spans="2:10" ht="12">
      <c r="B48" s="24" t="s">
        <v>16</v>
      </c>
      <c r="C48" s="11">
        <v>0</v>
      </c>
      <c r="D48" s="61">
        <f>IF(G48&lt;=0,0,IF($B$34*0.03&gt;G48,G48,$B$34*0.03))</f>
        <v>0</v>
      </c>
      <c r="E48" s="61">
        <f>+C48*D48</f>
        <v>0</v>
      </c>
      <c r="G48" s="62">
        <f>+IF(B35&lt;0,0,B35)</f>
        <v>0</v>
      </c>
      <c r="H48" s="62"/>
      <c r="J48" s="61"/>
    </row>
    <row r="49" spans="2:10" ht="12">
      <c r="B49" s="24" t="s">
        <v>9</v>
      </c>
      <c r="C49" s="11">
        <v>0.5</v>
      </c>
      <c r="D49" s="61">
        <f>IF(G49&lt;=0,0,IF($B$34*0.03&gt;G49,G49,$B$34*0.03))</f>
        <v>0</v>
      </c>
      <c r="E49" s="61">
        <f>+C49*D49</f>
        <v>0</v>
      </c>
      <c r="G49" s="62">
        <f>+G48-D48</f>
        <v>0</v>
      </c>
      <c r="H49" s="62"/>
      <c r="J49" s="61"/>
    </row>
    <row r="50" spans="2:10" ht="12">
      <c r="B50" s="24" t="s">
        <v>10</v>
      </c>
      <c r="C50" s="11">
        <v>1</v>
      </c>
      <c r="D50" s="61">
        <f>IF(G50&lt;=0,0,IF($B$34*0.94&gt;G50,G50,$B$34*0.94))</f>
        <v>0</v>
      </c>
      <c r="E50" s="61">
        <f>+C50*D50</f>
        <v>0</v>
      </c>
      <c r="G50" s="62">
        <f>+G49-D49</f>
        <v>0</v>
      </c>
      <c r="H50" s="52"/>
      <c r="J50" s="61"/>
    </row>
    <row r="51" spans="2:10" ht="12">
      <c r="B51" s="24"/>
      <c r="C51" s="11"/>
      <c r="D51" s="61"/>
      <c r="E51" s="61"/>
      <c r="G51" s="62"/>
      <c r="H51" s="62"/>
      <c r="J51" s="61"/>
    </row>
    <row r="52" spans="2:10" ht="12">
      <c r="B52" s="24"/>
      <c r="C52" s="11"/>
      <c r="D52" s="61"/>
      <c r="E52" s="61"/>
      <c r="G52" s="62"/>
      <c r="H52" s="62"/>
      <c r="J52" s="61"/>
    </row>
    <row r="53" spans="2:5" ht="11.25">
      <c r="B53" s="24"/>
      <c r="C53" s="24"/>
      <c r="E53" s="62"/>
    </row>
    <row r="55" spans="2:10" ht="12">
      <c r="B55" s="38"/>
      <c r="C55" s="57"/>
      <c r="D55" s="57" t="s">
        <v>5</v>
      </c>
      <c r="E55" s="57"/>
      <c r="F55" s="57"/>
      <c r="G55" s="57"/>
      <c r="J55" s="12"/>
    </row>
    <row r="56" spans="1:10" ht="12">
      <c r="A56" s="22" t="s">
        <v>15</v>
      </c>
      <c r="B56" s="22" t="s">
        <v>6</v>
      </c>
      <c r="C56" s="57" t="s">
        <v>3</v>
      </c>
      <c r="D56" s="57" t="s">
        <v>7</v>
      </c>
      <c r="E56" s="57" t="s">
        <v>8</v>
      </c>
      <c r="F56" s="57"/>
      <c r="G56" s="57" t="s">
        <v>19</v>
      </c>
      <c r="J56" s="12"/>
    </row>
    <row r="57" spans="2:10" ht="12">
      <c r="B57" s="24" t="s">
        <v>55</v>
      </c>
      <c r="C57" s="11">
        <v>0</v>
      </c>
      <c r="D57" s="61">
        <f>IF(G57&gt;0,0,IF(-$B$34*0.01&lt;G57,G57,-$B$34*0.01))</f>
        <v>-1189857.6703392924</v>
      </c>
      <c r="E57" s="61">
        <f>+D57*C57</f>
        <v>0</v>
      </c>
      <c r="G57" s="62">
        <f>+IF(B35&gt;0,0,B35)</f>
        <v>-6062732.966070771</v>
      </c>
      <c r="H57" s="62"/>
      <c r="J57" s="61"/>
    </row>
    <row r="58" spans="2:10" ht="12">
      <c r="B58" s="24" t="s">
        <v>56</v>
      </c>
      <c r="C58" s="11">
        <v>1</v>
      </c>
      <c r="D58" s="61">
        <f>IF(G58&gt;0,0,IF(-$B$34*0.99&lt;G58,G58,-$B$34*0.99))</f>
        <v>-4872875.295731479</v>
      </c>
      <c r="E58" s="61">
        <f>+D58*C58</f>
        <v>-4872875.295731479</v>
      </c>
      <c r="G58" s="62">
        <f>+G57-D57</f>
        <v>-4872875.295731479</v>
      </c>
      <c r="H58" s="62"/>
      <c r="J58" s="61"/>
    </row>
    <row r="59" spans="2:10" ht="12">
      <c r="B59" s="24"/>
      <c r="C59" s="11"/>
      <c r="D59" s="61"/>
      <c r="E59" s="61"/>
      <c r="G59" s="62"/>
      <c r="H59" s="62"/>
      <c r="J59" s="61"/>
    </row>
    <row r="60" spans="2:8" ht="12">
      <c r="B60" s="24"/>
      <c r="C60" s="11"/>
      <c r="D60" s="61"/>
      <c r="E60" s="61"/>
      <c r="H60" s="62"/>
    </row>
    <row r="61" spans="2:8" ht="12">
      <c r="B61" s="24"/>
      <c r="C61" s="11"/>
      <c r="D61" s="61"/>
      <c r="E61" s="61"/>
      <c r="H61" s="62"/>
    </row>
    <row r="62" ht="12" thickBot="1"/>
    <row r="63" spans="1:8" s="80" customFormat="1" ht="12.75">
      <c r="A63" s="13" t="s">
        <v>11</v>
      </c>
      <c r="B63" s="101"/>
      <c r="C63" s="101"/>
      <c r="D63" s="101"/>
      <c r="E63" s="101"/>
      <c r="F63" s="101"/>
      <c r="G63" s="101"/>
      <c r="H63" s="102"/>
    </row>
    <row r="64" spans="1:8" s="80" customFormat="1" ht="12.75">
      <c r="A64" s="25"/>
      <c r="B64" s="90"/>
      <c r="C64" s="90"/>
      <c r="D64" s="90"/>
      <c r="E64" s="90"/>
      <c r="F64" s="90"/>
      <c r="G64" s="90"/>
      <c r="H64" s="89"/>
    </row>
    <row r="65" spans="1:8" s="80" customFormat="1" ht="12.75">
      <c r="A65" s="21" t="s">
        <v>20</v>
      </c>
      <c r="B65" s="88"/>
      <c r="C65" s="88"/>
      <c r="D65" s="88"/>
      <c r="E65" s="88"/>
      <c r="F65" s="88"/>
      <c r="G65" s="88"/>
      <c r="H65" s="89"/>
    </row>
    <row r="66" spans="1:8" s="80" customFormat="1" ht="12.75">
      <c r="A66" s="21" t="s">
        <v>48</v>
      </c>
      <c r="B66" s="88"/>
      <c r="C66" s="88"/>
      <c r="D66" s="88"/>
      <c r="E66" s="88"/>
      <c r="F66" s="88"/>
      <c r="G66" s="88"/>
      <c r="H66" s="89"/>
    </row>
    <row r="67" spans="1:8" s="80" customFormat="1" ht="12.75">
      <c r="A67" s="21" t="s">
        <v>30</v>
      </c>
      <c r="B67" s="88"/>
      <c r="C67" s="88"/>
      <c r="D67" s="88"/>
      <c r="E67" s="88"/>
      <c r="F67" s="88"/>
      <c r="G67" s="88"/>
      <c r="H67" s="89"/>
    </row>
    <row r="68" spans="1:8" s="80" customFormat="1" ht="12.75">
      <c r="A68" s="21" t="s">
        <v>61</v>
      </c>
      <c r="B68" s="88"/>
      <c r="C68" s="88"/>
      <c r="D68" s="88"/>
      <c r="E68" s="88"/>
      <c r="F68" s="88"/>
      <c r="G68" s="88"/>
      <c r="H68" s="89"/>
    </row>
    <row r="69" spans="1:8" ht="12.75">
      <c r="A69" s="33" t="s">
        <v>43</v>
      </c>
      <c r="B69" s="37"/>
      <c r="C69" s="37"/>
      <c r="D69" s="37"/>
      <c r="E69" s="37"/>
      <c r="F69" s="37"/>
      <c r="G69" s="37"/>
      <c r="H69" s="91"/>
    </row>
    <row r="70" spans="1:8" ht="12.75">
      <c r="A70" s="34" t="s">
        <v>40</v>
      </c>
      <c r="B70" s="90"/>
      <c r="C70" s="90"/>
      <c r="D70" s="90"/>
      <c r="E70" s="90"/>
      <c r="F70" s="90"/>
      <c r="G70" s="90"/>
      <c r="H70" s="89"/>
    </row>
    <row r="71" spans="1:8" ht="12.75">
      <c r="A71" s="25" t="s">
        <v>62</v>
      </c>
      <c r="B71" s="88"/>
      <c r="C71" s="88"/>
      <c r="D71" s="88"/>
      <c r="E71" s="88"/>
      <c r="F71" s="88"/>
      <c r="G71" s="88"/>
      <c r="H71" s="89"/>
    </row>
    <row r="72" spans="1:8" ht="12.75">
      <c r="A72" s="34" t="s">
        <v>41</v>
      </c>
      <c r="B72" s="88"/>
      <c r="C72" s="88"/>
      <c r="D72" s="88"/>
      <c r="E72" s="88"/>
      <c r="F72" s="88"/>
      <c r="G72" s="88"/>
      <c r="H72" s="89"/>
    </row>
    <row r="73" spans="1:8" ht="12.75">
      <c r="A73" s="35" t="s">
        <v>63</v>
      </c>
      <c r="B73" s="32"/>
      <c r="C73" s="32"/>
      <c r="D73" s="32"/>
      <c r="E73" s="32"/>
      <c r="F73" s="32"/>
      <c r="G73" s="32"/>
      <c r="H73" s="36"/>
    </row>
    <row r="74" spans="1:8" ht="13.5" thickBot="1">
      <c r="A74" s="27" t="s">
        <v>42</v>
      </c>
      <c r="B74" s="92"/>
      <c r="C74" s="92"/>
      <c r="D74" s="92"/>
      <c r="E74" s="92"/>
      <c r="F74" s="92"/>
      <c r="G74" s="92"/>
      <c r="H74" s="9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Roman,Bold"Effective Date: 10/01/17
Revision Date: 05/03/18&amp;C&amp;"Times New Roman,Bold"&amp;12 312 CYE 14 through CYE 18, Attachment A, 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dfnavas</dc:creator>
  <cp:keywords/>
  <dc:description/>
  <cp:lastModifiedBy>Parra, Carol</cp:lastModifiedBy>
  <cp:lastPrinted>2015-04-17T16:17:09Z</cp:lastPrinted>
  <dcterms:created xsi:type="dcterms:W3CDTF">2011-08-22T23:35:05Z</dcterms:created>
  <dcterms:modified xsi:type="dcterms:W3CDTF">2018-05-10T21:42:03Z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  <property fmtid="{D5CDD505-2E9C-101B-9397-08002B2CF9AE}" pid="3" name="status">
    <vt:lpwstr>Active</vt:lpwstr>
  </property>
</Properties>
</file>