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482\Desktop\ANYEs 10.1.23\"/>
    </mc:Choice>
  </mc:AlternateContent>
  <xr:revisionPtr revIDLastSave="0" documentId="8_{B5FCD42C-4E36-4EF7-A664-2118CE7D5BC7}" xr6:coauthVersionLast="47" xr6:coauthVersionMax="47" xr10:uidLastSave="{00000000-0000-0000-0000-000000000000}"/>
  <bookViews>
    <workbookView xWindow="345" yWindow="1320" windowWidth="28680" windowHeight="13935" xr2:uid="{00000000-000D-0000-FFFF-FFFF00000000}"/>
  </bookViews>
  <sheets>
    <sheet name="Reconciliation Calculation" sheetId="1" r:id="rId1"/>
  </sheets>
  <externalReferences>
    <externalReference r:id="rId2"/>
  </externalReferences>
  <definedNames>
    <definedName name="Bound">[1]Inputs!$B$6</definedName>
    <definedName name="ReconPercent">[1]Inputs!$B$4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F9" i="1"/>
  <c r="E9" i="1"/>
  <c r="D9" i="1"/>
  <c r="C9" i="1"/>
  <c r="B9" i="1"/>
  <c r="L18" i="1"/>
  <c r="K18" i="1"/>
  <c r="I18" i="1"/>
  <c r="H18" i="1"/>
  <c r="G18" i="1"/>
  <c r="F18" i="1"/>
  <c r="E18" i="1"/>
  <c r="D18" i="1"/>
  <c r="C18" i="1"/>
  <c r="K7" i="1"/>
  <c r="J16" i="1"/>
  <c r="J14" i="1"/>
  <c r="J8" i="1"/>
  <c r="J5" i="1"/>
  <c r="J4" i="1"/>
  <c r="J18" i="1" l="1"/>
  <c r="J7" i="1"/>
  <c r="J10" i="1" s="1"/>
  <c r="J11" i="1" s="1"/>
  <c r="J22" i="1" s="1"/>
  <c r="J23" i="1" s="1"/>
  <c r="K10" i="1"/>
  <c r="K11" i="1" s="1"/>
  <c r="K22" i="1" s="1"/>
  <c r="K23" i="1" s="1"/>
  <c r="B14" i="1" l="1"/>
  <c r="B18" i="1" s="1"/>
  <c r="M20" i="1" l="1"/>
  <c r="M17" i="1"/>
  <c r="M16" i="1"/>
  <c r="M15" i="1"/>
  <c r="M8" i="1"/>
  <c r="L7" i="1"/>
  <c r="I7" i="1"/>
  <c r="H7" i="1"/>
  <c r="G7" i="1"/>
  <c r="F7" i="1"/>
  <c r="E7" i="1"/>
  <c r="D7" i="1"/>
  <c r="C7" i="1"/>
  <c r="B7" i="1"/>
  <c r="M6" i="1"/>
  <c r="M5" i="1"/>
  <c r="M4" i="1"/>
  <c r="G10" i="1" l="1"/>
  <c r="G11" i="1" s="1"/>
  <c r="G22" i="1" s="1"/>
  <c r="G23" i="1" s="1"/>
  <c r="H10" i="1"/>
  <c r="H11" i="1" s="1"/>
  <c r="H22" i="1" s="1"/>
  <c r="H23" i="1" s="1"/>
  <c r="L10" i="1"/>
  <c r="L11" i="1" s="1"/>
  <c r="L22" i="1" s="1"/>
  <c r="D10" i="1"/>
  <c r="D11" i="1" s="1"/>
  <c r="D22" i="1" s="1"/>
  <c r="D23" i="1" s="1"/>
  <c r="C10" i="1"/>
  <c r="C11" i="1" s="1"/>
  <c r="C22" i="1" s="1"/>
  <c r="C23" i="1" s="1"/>
  <c r="M9" i="1"/>
  <c r="B10" i="1"/>
  <c r="B11" i="1" s="1"/>
  <c r="F10" i="1"/>
  <c r="F11" i="1" s="1"/>
  <c r="M7" i="1"/>
  <c r="E10" i="1"/>
  <c r="I10" i="1"/>
  <c r="I11" i="1" s="1"/>
  <c r="M14" i="1"/>
  <c r="M18" i="1" s="1"/>
  <c r="I22" i="1" l="1"/>
  <c r="I23" i="1" s="1"/>
  <c r="F22" i="1"/>
  <c r="F23" i="1" s="1"/>
  <c r="E11" i="1"/>
  <c r="E22" i="1" s="1"/>
  <c r="E23" i="1" s="1"/>
  <c r="B22" i="1"/>
  <c r="B23" i="1" s="1"/>
  <c r="L23" i="1"/>
  <c r="M10" i="1"/>
  <c r="M11" i="1" s="1"/>
  <c r="B31" i="1" l="1"/>
  <c r="M22" i="1"/>
  <c r="M27" i="1" l="1"/>
  <c r="B32" i="1" s="1"/>
  <c r="M23" i="1"/>
  <c r="G46" i="1" l="1"/>
  <c r="D46" i="1" s="1"/>
  <c r="G47" i="1" s="1"/>
  <c r="D47" i="1" s="1"/>
  <c r="G48" i="1" s="1"/>
  <c r="D48" i="1" s="1"/>
  <c r="G55" i="1"/>
  <c r="D55" i="1" s="1"/>
  <c r="G56" i="1" s="1"/>
  <c r="D56" i="1" s="1"/>
  <c r="B33" i="1"/>
  <c r="E46" i="1" l="1"/>
  <c r="E55" i="1"/>
  <c r="E56" i="1" l="1"/>
  <c r="E48" i="1" l="1"/>
  <c r="E47" i="1"/>
  <c r="B37" i="1" l="1"/>
  <c r="B41" i="1" s="1"/>
  <c r="B42" i="1" s="1"/>
</calcChain>
</file>

<file path=xl/sharedStrings.xml><?xml version="1.0" encoding="utf-8"?>
<sst xmlns="http://schemas.openxmlformats.org/spreadsheetml/2006/main" count="67" uniqueCount="61">
  <si>
    <t>AGE &lt;1</t>
  </si>
  <si>
    <t>AGE 1-20</t>
  </si>
  <si>
    <t>AGE 21+</t>
  </si>
  <si>
    <t>DUALS</t>
  </si>
  <si>
    <t>SSI WITHOUT MEDICARE</t>
  </si>
  <si>
    <t>KIDSCARE</t>
  </si>
  <si>
    <t>PROP 204 CHILDLESS ADULTS</t>
  </si>
  <si>
    <t>EXPANSION ADULTS</t>
  </si>
  <si>
    <t>SMI (ACC-RBHA Only)</t>
  </si>
  <si>
    <t>Crisis (ACC-RBHA Only)</t>
  </si>
  <si>
    <t>OTHER ADJUSTMENTS</t>
  </si>
  <si>
    <t>TOTAL</t>
  </si>
  <si>
    <t>CAPITATION</t>
  </si>
  <si>
    <t>Prospective Capitation</t>
  </si>
  <si>
    <t>PPC Capitation</t>
  </si>
  <si>
    <t>Delivery Supplemental Payments</t>
  </si>
  <si>
    <t>TOTAL CAPITATION</t>
  </si>
  <si>
    <t>Less: Administrative Component</t>
  </si>
  <si>
    <t>Less: Alternative Payment Model Withhold</t>
  </si>
  <si>
    <t>Less: Premium Tax Component</t>
  </si>
  <si>
    <t xml:space="preserve">NET CAPITATION </t>
  </si>
  <si>
    <t>EXPENSE</t>
  </si>
  <si>
    <t>Medical Expense</t>
  </si>
  <si>
    <t>Medical Expense Completion</t>
  </si>
  <si>
    <t>Plus: Medical Sub-capitated/Block Purchase Expense</t>
  </si>
  <si>
    <t>Less: CN1 Code 05 Encounters</t>
  </si>
  <si>
    <t>NET MEDICAL EXPENSE</t>
  </si>
  <si>
    <t>REINSURANCE (RI) PAYMENTS</t>
  </si>
  <si>
    <r>
      <t xml:space="preserve">Profit/(Loss) to be Reconciled  </t>
    </r>
    <r>
      <rPr>
        <sz val="11"/>
        <rFont val="Calibri"/>
        <family val="2"/>
        <scheme val="minor"/>
      </rPr>
      <t>= (Net Cap - Net Exp + RI Pmt)</t>
    </r>
  </si>
  <si>
    <t>Profit/(Loss) % of Net Capitation</t>
  </si>
  <si>
    <t>Member Months</t>
  </si>
  <si>
    <t>ADJUSTED NET PROFIT (LOSS) TO BE RECONCILED</t>
  </si>
  <si>
    <t>SETTLEMENT</t>
  </si>
  <si>
    <t>Net Capitation (Net of Admin Component, Premium Tax Component)</t>
  </si>
  <si>
    <t>Total Profit/(Loss) to be Reconciled</t>
  </si>
  <si>
    <t>AMOUNT DUE TO (FROM) CONTRACTOR:</t>
  </si>
  <si>
    <t>PREMIUM TAX</t>
  </si>
  <si>
    <t>NET AMOUNT DUE TO (FROM) CONTRACTOR:</t>
  </si>
  <si>
    <t>Amount</t>
  </si>
  <si>
    <t>RECON AMOUNT DUE TO/FROM CALCULATION</t>
  </si>
  <si>
    <t>Excess Profit</t>
  </si>
  <si>
    <t>Recoup. %</t>
  </si>
  <si>
    <t>Overpaid</t>
  </si>
  <si>
    <t>Recoupment</t>
  </si>
  <si>
    <t>Calcs</t>
  </si>
  <si>
    <t>&lt;=2%</t>
  </si>
  <si>
    <t>2% &lt; x &lt;= 6%</t>
  </si>
  <si>
    <t xml:space="preserve"> x &gt; 6%</t>
  </si>
  <si>
    <t xml:space="preserve">Amount </t>
  </si>
  <si>
    <t>Excess Loss</t>
  </si>
  <si>
    <t>Underpaid</t>
  </si>
  <si>
    <t>Reimburse</t>
  </si>
  <si>
    <t>&gt; 2%</t>
  </si>
  <si>
    <t>ASSUMPTIONS:</t>
  </si>
  <si>
    <t>1) Total Capitation includes PPC and Prospective Capitation and Delivery Supplemental Payments  for dates of service within the reconciliation time frame.</t>
  </si>
  <si>
    <t xml:space="preserve">2) Medical Expenses include all PPC and Prospective fully adjudicated and approved encounters for dates of service within the reconciliation time frame. </t>
  </si>
  <si>
    <t xml:space="preserve">    All COVID-19 vaccine and vaccination administration amounts for CYE 23 and CYE 24 will be removed since these will be cost settled in accordance to ACOM Policy 302.</t>
  </si>
  <si>
    <t>3) Reinsurance Payments are based on actual reinsurance payments for dates of service within the reconciliation time frame.</t>
  </si>
  <si>
    <t>4) The administrative Component includes the sub-capitated/block purchase administrative component that the PMPM amounts built into the capitation rates</t>
  </si>
  <si>
    <t xml:space="preserve">5) Sub-capitated/Block Purchase expenses are self reported medical amounts from Quarterly Financial statements or final audits. </t>
  </si>
  <si>
    <t>6) All encounters with CN 1 code of 05 have been excluded from this reconciliation.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</si>
</sst>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.0000000_);_(&quot;$&quot;* \(#,##0.0000000\);_(&quot;$&quot;* &quot;-&quot;??_);_(@_)"/>
    <numFmt numFmtId="168" formatCode="_(&quot;$&quot;* #,##0_);_(&quot;$&quot;* \(#,##0\);_(&quot;$&quot;* &quot;-&quot;??_);_(@_)"/>
    <numFmt numFmtId="169" formatCode="&quot;$&quot;#,##0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quotePrefix="1" applyFont="1" applyBorder="1" applyAlignment="1">
      <alignment horizontal="left"/>
    </xf>
    <xf numFmtId="0" fontId="5" fillId="0" borderId="0" xfId="0" applyFont="1"/>
    <xf numFmtId="0" fontId="5" fillId="0" borderId="8" xfId="0" applyFont="1" applyBorder="1"/>
    <xf numFmtId="0" fontId="5" fillId="0" borderId="7" xfId="0" applyFont="1" applyBorder="1"/>
    <xf numFmtId="0" fontId="3" fillId="0" borderId="0" xfId="0" applyFont="1"/>
    <xf numFmtId="0" fontId="3" fillId="0" borderId="8" xfId="0" applyFont="1" applyBorder="1"/>
    <xf numFmtId="0" fontId="5" fillId="0" borderId="9" xfId="0" quotePrefix="1" applyFont="1" applyBorder="1" applyAlignment="1">
      <alignment horizontal="left" vertical="top"/>
    </xf>
    <xf numFmtId="0" fontId="5" fillId="0" borderId="10" xfId="0" applyFont="1" applyBorder="1"/>
    <xf numFmtId="0" fontId="5" fillId="0" borderId="11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44" fontId="5" fillId="0" borderId="0" xfId="0" applyNumberFormat="1" applyFont="1"/>
    <xf numFmtId="44" fontId="5" fillId="0" borderId="1" xfId="0" applyNumberFormat="1" applyFont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10" fontId="5" fillId="0" borderId="0" xfId="3" applyNumberFormat="1" applyFont="1" applyFill="1"/>
    <xf numFmtId="165" fontId="5" fillId="0" borderId="0" xfId="3" applyNumberFormat="1" applyFont="1" applyFill="1"/>
    <xf numFmtId="44" fontId="5" fillId="0" borderId="0" xfId="3" applyNumberFormat="1" applyFont="1" applyFill="1"/>
    <xf numFmtId="7" fontId="5" fillId="0" borderId="0" xfId="4" applyNumberFormat="1" applyFont="1" applyFill="1"/>
    <xf numFmtId="44" fontId="5" fillId="0" borderId="2" xfId="3" applyNumberFormat="1" applyFont="1" applyFill="1" applyBorder="1"/>
    <xf numFmtId="43" fontId="5" fillId="0" borderId="0" xfId="0" applyNumberFormat="1" applyFont="1"/>
    <xf numFmtId="44" fontId="5" fillId="0" borderId="0" xfId="2" applyFont="1" applyFill="1" applyBorder="1"/>
    <xf numFmtId="10" fontId="5" fillId="0" borderId="0" xfId="3" applyNumberFormat="1" applyFont="1" applyFill="1" applyBorder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165" fontId="5" fillId="0" borderId="0" xfId="1" applyNumberFormat="1" applyFont="1" applyFill="1"/>
    <xf numFmtId="166" fontId="5" fillId="0" borderId="0" xfId="2" applyNumberFormat="1" applyFont="1" applyFill="1"/>
    <xf numFmtId="0" fontId="4" fillId="0" borderId="0" xfId="0" applyFont="1" applyAlignment="1">
      <alignment wrapText="1"/>
    </xf>
    <xf numFmtId="167" fontId="5" fillId="0" borderId="0" xfId="0" applyNumberFormat="1" applyFont="1"/>
    <xf numFmtId="44" fontId="5" fillId="0" borderId="3" xfId="0" applyNumberFormat="1" applyFont="1" applyBorder="1"/>
    <xf numFmtId="0" fontId="5" fillId="0" borderId="0" xfId="0" applyFont="1" applyAlignment="1">
      <alignment horizontal="center"/>
    </xf>
    <xf numFmtId="168" fontId="5" fillId="0" borderId="0" xfId="0" applyNumberFormat="1" applyFont="1"/>
    <xf numFmtId="168" fontId="5" fillId="0" borderId="0" xfId="2" applyNumberFormat="1" applyFont="1" applyFill="1"/>
    <xf numFmtId="9" fontId="5" fillId="0" borderId="0" xfId="0" applyNumberFormat="1" applyFont="1"/>
    <xf numFmtId="9" fontId="5" fillId="0" borderId="0" xfId="3" applyFont="1" applyFill="1" applyBorder="1"/>
    <xf numFmtId="169" fontId="5" fillId="0" borderId="0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4" fontId="4" fillId="2" borderId="0" xfId="0" applyNumberFormat="1" applyFont="1" applyFill="1"/>
  </cellXfs>
  <cellStyles count="8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Normal 2" xfId="6" xr:uid="{00000000-0005-0000-0000-000005000000}"/>
    <cellStyle name="Percent" xfId="3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2F8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Acute/CY12%20Cap%20Development/Cognos/Recons/2010/ProsRecon2010%20w%20Upd%20RI%20and%20Admin%20@%20bid%20Dynamic%20TX%20Model%20Rev%2007-1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"/>
      <sheetName val="Condensed Summary"/>
      <sheetName val="Admin %"/>
      <sheetName val="Overall Summary"/>
      <sheetName val="APIPASummary"/>
      <sheetName val="APIPADetail"/>
      <sheetName val="Care1stSummary"/>
      <sheetName val="Care1stDetail"/>
      <sheetName val="BridgewaySummary"/>
      <sheetName val="BridgewayDetail"/>
      <sheetName val="HCASummary"/>
      <sheetName val="HCADetail"/>
      <sheetName val="MaricopaSummary"/>
      <sheetName val="MaricopaDetail"/>
      <sheetName val="MercySummary"/>
      <sheetName val="MercyDetail"/>
      <sheetName val="PHPSummary"/>
      <sheetName val="PHPDetail"/>
      <sheetName val="PimaSummary"/>
      <sheetName val="PimaDetail"/>
      <sheetName val="UFCSummary"/>
      <sheetName val="UFC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tabSelected="1" view="pageLayout" zoomScaleNormal="90" workbookViewId="0">
      <selection activeCell="B1" sqref="B1"/>
    </sheetView>
  </sheetViews>
  <sheetFormatPr defaultColWidth="9.140625" defaultRowHeight="15"/>
  <cols>
    <col min="1" max="1" width="88.85546875" style="5" customWidth="1"/>
    <col min="2" max="2" width="21.85546875" style="5" bestFit="1" customWidth="1"/>
    <col min="3" max="3" width="23.140625" style="5" bestFit="1" customWidth="1"/>
    <col min="4" max="4" width="23.28515625" style="5" bestFit="1" customWidth="1"/>
    <col min="5" max="7" width="22" style="5" bestFit="1" customWidth="1"/>
    <col min="8" max="8" width="22.85546875" style="5" bestFit="1" customWidth="1"/>
    <col min="9" max="9" width="22" style="5" bestFit="1" customWidth="1"/>
    <col min="10" max="10" width="23.5703125" style="5" bestFit="1" customWidth="1"/>
    <col min="11" max="11" width="22" style="5" bestFit="1" customWidth="1"/>
    <col min="12" max="12" width="19.42578125" style="5" customWidth="1"/>
    <col min="13" max="13" width="30.28515625" style="5" customWidth="1"/>
    <col min="14" max="14" width="20.140625" style="5" bestFit="1" customWidth="1"/>
    <col min="15" max="15" width="12.85546875" style="5" bestFit="1" customWidth="1"/>
    <col min="16" max="16" width="10.7109375" style="5" bestFit="1" customWidth="1"/>
    <col min="17" max="16384" width="9.140625" style="5"/>
  </cols>
  <sheetData>
    <row r="1" spans="1:16" ht="66" customHeight="1">
      <c r="A1" s="43"/>
      <c r="B1" s="44" t="s">
        <v>0</v>
      </c>
      <c r="C1" s="44" t="s">
        <v>1</v>
      </c>
      <c r="D1" s="45" t="s">
        <v>2</v>
      </c>
      <c r="E1" s="45" t="s">
        <v>3</v>
      </c>
      <c r="F1" s="46" t="s">
        <v>4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4" t="s">
        <v>11</v>
      </c>
    </row>
    <row r="2" spans="1:16">
      <c r="A2" s="13"/>
      <c r="B2" s="14"/>
      <c r="C2" s="14"/>
      <c r="D2" s="15"/>
      <c r="E2" s="15"/>
      <c r="F2" s="14"/>
      <c r="G2" s="14"/>
      <c r="H2" s="16"/>
      <c r="I2" s="14"/>
      <c r="J2" s="14"/>
      <c r="K2" s="14"/>
      <c r="L2" s="14"/>
      <c r="M2" s="14"/>
    </row>
    <row r="3" spans="1:16">
      <c r="A3" s="13" t="s">
        <v>12</v>
      </c>
      <c r="B3" s="14"/>
      <c r="C3" s="14"/>
      <c r="D3" s="15"/>
      <c r="E3" s="15"/>
      <c r="F3" s="14"/>
      <c r="G3" s="14"/>
      <c r="H3" s="16"/>
      <c r="I3" s="14"/>
      <c r="J3" s="14"/>
      <c r="K3" s="14"/>
      <c r="L3" s="14"/>
      <c r="M3" s="14"/>
    </row>
    <row r="4" spans="1:16">
      <c r="A4" s="17" t="s">
        <v>13</v>
      </c>
      <c r="B4" s="18">
        <v>58400000</v>
      </c>
      <c r="C4" s="18">
        <v>128300000</v>
      </c>
      <c r="D4" s="18">
        <v>102700000</v>
      </c>
      <c r="E4" s="18">
        <v>41500000</v>
      </c>
      <c r="F4" s="18">
        <v>40000000</v>
      </c>
      <c r="G4" s="18">
        <v>29200000</v>
      </c>
      <c r="H4" s="18">
        <v>112300000</v>
      </c>
      <c r="I4" s="18">
        <v>60000000</v>
      </c>
      <c r="J4" s="18">
        <f>373600000</f>
        <v>373600000</v>
      </c>
      <c r="K4" s="18">
        <v>39600000</v>
      </c>
      <c r="L4" s="18">
        <v>0</v>
      </c>
      <c r="M4" s="18">
        <f>+SUM(B4:L4)</f>
        <v>985600000</v>
      </c>
    </row>
    <row r="5" spans="1:16">
      <c r="A5" s="17" t="s">
        <v>14</v>
      </c>
      <c r="B5" s="18">
        <v>550000</v>
      </c>
      <c r="C5" s="18">
        <v>7532000</v>
      </c>
      <c r="D5" s="18">
        <v>15325000</v>
      </c>
      <c r="E5" s="18">
        <v>750000</v>
      </c>
      <c r="F5" s="18">
        <v>2555000</v>
      </c>
      <c r="G5" s="18">
        <v>0</v>
      </c>
      <c r="H5" s="18">
        <v>755000</v>
      </c>
      <c r="I5" s="18">
        <v>699000</v>
      </c>
      <c r="J5" s="18">
        <f>3577750</f>
        <v>3577750</v>
      </c>
      <c r="K5" s="18">
        <v>0</v>
      </c>
      <c r="L5" s="18"/>
      <c r="M5" s="18">
        <f>+SUM(B5:L5)</f>
        <v>31743750</v>
      </c>
    </row>
    <row r="6" spans="1:16">
      <c r="A6" s="17" t="s">
        <v>15</v>
      </c>
      <c r="B6" s="19">
        <v>0</v>
      </c>
      <c r="C6" s="19">
        <v>0</v>
      </c>
      <c r="D6" s="19">
        <v>28400000</v>
      </c>
      <c r="E6" s="19">
        <v>0</v>
      </c>
      <c r="F6" s="19">
        <v>0</v>
      </c>
      <c r="G6" s="19">
        <v>100000</v>
      </c>
      <c r="H6" s="19">
        <v>700000</v>
      </c>
      <c r="I6" s="19">
        <v>0</v>
      </c>
      <c r="J6" s="19">
        <v>0</v>
      </c>
      <c r="K6" s="19">
        <v>0</v>
      </c>
      <c r="L6" s="19">
        <v>0</v>
      </c>
      <c r="M6" s="19">
        <f>+SUM(B6:L6)</f>
        <v>29200000</v>
      </c>
    </row>
    <row r="7" spans="1:16">
      <c r="A7" s="20" t="s">
        <v>16</v>
      </c>
      <c r="B7" s="21">
        <f>SUM(B4:B6)</f>
        <v>58950000</v>
      </c>
      <c r="C7" s="21">
        <f t="shared" ref="C7:L7" si="0">SUM(C4:C6)</f>
        <v>135832000</v>
      </c>
      <c r="D7" s="21">
        <f t="shared" si="0"/>
        <v>146425000</v>
      </c>
      <c r="E7" s="21">
        <f t="shared" si="0"/>
        <v>42250000</v>
      </c>
      <c r="F7" s="21">
        <f t="shared" si="0"/>
        <v>42555000</v>
      </c>
      <c r="G7" s="21">
        <f t="shared" si="0"/>
        <v>29300000</v>
      </c>
      <c r="H7" s="21">
        <f t="shared" si="0"/>
        <v>113755000</v>
      </c>
      <c r="I7" s="21">
        <f t="shared" si="0"/>
        <v>60699000</v>
      </c>
      <c r="J7" s="21">
        <f>SUM(J4:J6)</f>
        <v>377177750</v>
      </c>
      <c r="K7" s="21">
        <f>SUM(K4:K6)</f>
        <v>39600000</v>
      </c>
      <c r="L7" s="21">
        <f t="shared" si="0"/>
        <v>0</v>
      </c>
      <c r="M7" s="21">
        <f>SUM(B7:L7)</f>
        <v>1046543750</v>
      </c>
    </row>
    <row r="8" spans="1:16">
      <c r="A8" s="17" t="s">
        <v>17</v>
      </c>
      <c r="B8" s="18">
        <v>4400000</v>
      </c>
      <c r="C8" s="18">
        <v>9500000</v>
      </c>
      <c r="D8" s="18">
        <v>11342560</v>
      </c>
      <c r="E8" s="18">
        <v>3100000</v>
      </c>
      <c r="F8" s="18">
        <v>3100000</v>
      </c>
      <c r="G8" s="18">
        <v>2107840</v>
      </c>
      <c r="H8" s="18">
        <v>8254880</v>
      </c>
      <c r="I8" s="18">
        <v>2638400</v>
      </c>
      <c r="J8" s="18">
        <f>27900000</f>
        <v>27900000</v>
      </c>
      <c r="K8" s="18">
        <v>3084000</v>
      </c>
      <c r="L8" s="18">
        <v>0</v>
      </c>
      <c r="M8" s="18">
        <f>+SUM(B8:L8)</f>
        <v>75427680</v>
      </c>
      <c r="N8" s="18"/>
      <c r="O8" s="18"/>
      <c r="P8" s="18"/>
    </row>
    <row r="9" spans="1:16">
      <c r="A9" s="17" t="s">
        <v>18</v>
      </c>
      <c r="B9" s="18">
        <f>(B4)*0.01</f>
        <v>584000</v>
      </c>
      <c r="C9" s="18">
        <f>(C4)*0.01</f>
        <v>1283000</v>
      </c>
      <c r="D9" s="18">
        <f>(D4)*0.01</f>
        <v>1027000</v>
      </c>
      <c r="E9" s="18">
        <f>(E4)*0.01</f>
        <v>415000</v>
      </c>
      <c r="F9" s="18">
        <f>(F4)*0.01</f>
        <v>400000</v>
      </c>
      <c r="G9" s="18">
        <v>0</v>
      </c>
      <c r="H9" s="18">
        <f>(H4)*0.01</f>
        <v>1123000</v>
      </c>
      <c r="I9" s="18">
        <f>(I4)*0.01</f>
        <v>600000</v>
      </c>
      <c r="J9" s="18">
        <v>0</v>
      </c>
      <c r="K9" s="18">
        <v>0</v>
      </c>
      <c r="L9" s="18">
        <v>0</v>
      </c>
      <c r="M9" s="18">
        <f>+SUM(B9:L9)</f>
        <v>5432000</v>
      </c>
      <c r="N9" s="18"/>
      <c r="O9" s="18"/>
      <c r="P9" s="18"/>
    </row>
    <row r="10" spans="1:16">
      <c r="A10" s="17" t="s">
        <v>19</v>
      </c>
      <c r="B10" s="19">
        <f t="shared" ref="B10:L10" si="1">B7*0.02</f>
        <v>1179000</v>
      </c>
      <c r="C10" s="19">
        <f t="shared" si="1"/>
        <v>2716640</v>
      </c>
      <c r="D10" s="19">
        <f t="shared" si="1"/>
        <v>2928500</v>
      </c>
      <c r="E10" s="19">
        <f t="shared" si="1"/>
        <v>845000</v>
      </c>
      <c r="F10" s="19">
        <f t="shared" si="1"/>
        <v>851100</v>
      </c>
      <c r="G10" s="19">
        <f t="shared" si="1"/>
        <v>586000</v>
      </c>
      <c r="H10" s="19">
        <f t="shared" si="1"/>
        <v>2275100</v>
      </c>
      <c r="I10" s="19">
        <f t="shared" si="1"/>
        <v>1213980</v>
      </c>
      <c r="J10" s="19">
        <f t="shared" si="1"/>
        <v>7543555</v>
      </c>
      <c r="K10" s="19">
        <f t="shared" si="1"/>
        <v>792000</v>
      </c>
      <c r="L10" s="19">
        <f t="shared" si="1"/>
        <v>0</v>
      </c>
      <c r="M10" s="19">
        <f>SUM(B10:L10)</f>
        <v>20930875</v>
      </c>
      <c r="O10" s="18"/>
    </row>
    <row r="11" spans="1:16">
      <c r="A11" s="13" t="s">
        <v>20</v>
      </c>
      <c r="B11" s="21">
        <f t="shared" ref="B11:I11" si="2">B7-SUM(B8:B10)</f>
        <v>52787000</v>
      </c>
      <c r="C11" s="21">
        <f t="shared" si="2"/>
        <v>122332360</v>
      </c>
      <c r="D11" s="21">
        <f t="shared" si="2"/>
        <v>131126940</v>
      </c>
      <c r="E11" s="21">
        <f t="shared" si="2"/>
        <v>37890000</v>
      </c>
      <c r="F11" s="21">
        <f t="shared" si="2"/>
        <v>38203900</v>
      </c>
      <c r="G11" s="21">
        <f t="shared" si="2"/>
        <v>26606160</v>
      </c>
      <c r="H11" s="21">
        <f t="shared" si="2"/>
        <v>102102020</v>
      </c>
      <c r="I11" s="21">
        <f t="shared" si="2"/>
        <v>56246620</v>
      </c>
      <c r="J11" s="21">
        <f>J7-J8-J9-J10</f>
        <v>341734195</v>
      </c>
      <c r="K11" s="21">
        <f>K7-K8-K9-K10</f>
        <v>35724000</v>
      </c>
      <c r="L11" s="21">
        <f>L7-SUM(L8:L10)</f>
        <v>0</v>
      </c>
      <c r="M11" s="21">
        <f>M7-SUM(M8:M10)</f>
        <v>944753195</v>
      </c>
    </row>
    <row r="12" spans="1:16">
      <c r="A12" s="13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6">
      <c r="A13" s="13" t="s">
        <v>21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6">
      <c r="A14" s="17" t="s">
        <v>22</v>
      </c>
      <c r="B14" s="18">
        <f>58615000</f>
        <v>58615000</v>
      </c>
      <c r="C14" s="18">
        <v>109630000</v>
      </c>
      <c r="D14" s="18">
        <v>126550000</v>
      </c>
      <c r="E14" s="18">
        <v>41805000</v>
      </c>
      <c r="F14" s="18">
        <v>43630000</v>
      </c>
      <c r="G14" s="18">
        <v>25935000</v>
      </c>
      <c r="H14" s="18">
        <v>113240000</v>
      </c>
      <c r="I14" s="18">
        <v>45975000</v>
      </c>
      <c r="J14" s="18">
        <f>225750900</f>
        <v>225750900</v>
      </c>
      <c r="K14" s="18">
        <v>1875000</v>
      </c>
      <c r="L14" s="18">
        <v>0</v>
      </c>
      <c r="M14" s="18">
        <f t="shared" ref="M14:M17" si="3">+SUM(B14:L14)</f>
        <v>793005900</v>
      </c>
      <c r="O14" s="18"/>
    </row>
    <row r="15" spans="1:16">
      <c r="A15" s="17" t="s">
        <v>23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 t="shared" si="3"/>
        <v>0</v>
      </c>
      <c r="O15" s="18"/>
    </row>
    <row r="16" spans="1:16">
      <c r="A16" s="17" t="s">
        <v>24</v>
      </c>
      <c r="B16" s="18">
        <v>1000000</v>
      </c>
      <c r="C16" s="18">
        <v>500000</v>
      </c>
      <c r="D16" s="18">
        <v>500000</v>
      </c>
      <c r="E16" s="18">
        <v>700000</v>
      </c>
      <c r="F16" s="18">
        <v>100000</v>
      </c>
      <c r="G16" s="18">
        <v>600000</v>
      </c>
      <c r="H16" s="18">
        <v>900000</v>
      </c>
      <c r="I16" s="18">
        <v>400000</v>
      </c>
      <c r="J16" s="18">
        <f>98850000</f>
        <v>98850000</v>
      </c>
      <c r="K16" s="18">
        <v>30000000</v>
      </c>
      <c r="L16" s="18">
        <v>0</v>
      </c>
      <c r="M16" s="18">
        <f t="shared" si="3"/>
        <v>133550000</v>
      </c>
    </row>
    <row r="17" spans="1:14">
      <c r="A17" s="17" t="s">
        <v>25</v>
      </c>
      <c r="B17" s="18">
        <v>0</v>
      </c>
      <c r="C17" s="18">
        <v>0</v>
      </c>
      <c r="D17" s="18">
        <v>0</v>
      </c>
      <c r="E17" s="18">
        <v>1500</v>
      </c>
      <c r="F17" s="18">
        <v>25000</v>
      </c>
      <c r="G17" s="18">
        <v>0</v>
      </c>
      <c r="H17" s="18">
        <v>0</v>
      </c>
      <c r="I17" s="18">
        <v>0</v>
      </c>
      <c r="J17" s="18">
        <v>300000</v>
      </c>
      <c r="K17" s="18">
        <v>0</v>
      </c>
      <c r="L17" s="18"/>
      <c r="M17" s="18">
        <f t="shared" si="3"/>
        <v>326500</v>
      </c>
    </row>
    <row r="18" spans="1:14">
      <c r="A18" s="13" t="s">
        <v>26</v>
      </c>
      <c r="B18" s="21">
        <f t="shared" ref="B18:M18" si="4">SUM(B14:B16)-B17</f>
        <v>59615000</v>
      </c>
      <c r="C18" s="21">
        <f t="shared" si="4"/>
        <v>110130000</v>
      </c>
      <c r="D18" s="21">
        <f t="shared" si="4"/>
        <v>127050000</v>
      </c>
      <c r="E18" s="21">
        <f t="shared" si="4"/>
        <v>42503500</v>
      </c>
      <c r="F18" s="21">
        <f t="shared" si="4"/>
        <v>43705000</v>
      </c>
      <c r="G18" s="21">
        <f t="shared" si="4"/>
        <v>26535000</v>
      </c>
      <c r="H18" s="21">
        <f t="shared" si="4"/>
        <v>114140000</v>
      </c>
      <c r="I18" s="21">
        <f t="shared" si="4"/>
        <v>46375000</v>
      </c>
      <c r="J18" s="21">
        <f t="shared" si="4"/>
        <v>324300900</v>
      </c>
      <c r="K18" s="21">
        <f t="shared" si="4"/>
        <v>31875000</v>
      </c>
      <c r="L18" s="21">
        <f t="shared" si="4"/>
        <v>0</v>
      </c>
      <c r="M18" s="21">
        <f t="shared" si="4"/>
        <v>926229400</v>
      </c>
      <c r="N18" s="18"/>
    </row>
    <row r="19" spans="1:14">
      <c r="A19" s="1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>
      <c r="A20" s="13" t="s">
        <v>27</v>
      </c>
      <c r="B20" s="18">
        <v>9200000</v>
      </c>
      <c r="C20" s="18">
        <v>4600000</v>
      </c>
      <c r="D20" s="18">
        <v>3300000</v>
      </c>
      <c r="E20" s="18">
        <v>4900000</v>
      </c>
      <c r="F20" s="18">
        <v>1300000</v>
      </c>
      <c r="G20" s="18">
        <v>300000</v>
      </c>
      <c r="H20" s="18">
        <v>21900000</v>
      </c>
      <c r="I20" s="18">
        <v>750000</v>
      </c>
      <c r="J20" s="18">
        <v>4950000</v>
      </c>
      <c r="K20" s="18">
        <v>0</v>
      </c>
      <c r="L20" s="18">
        <v>0</v>
      </c>
      <c r="M20" s="18">
        <f>+SUM(B20:L20)</f>
        <v>51200000</v>
      </c>
    </row>
    <row r="21" spans="1:14">
      <c r="A21" s="13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4">
      <c r="A22" s="47" t="s">
        <v>28</v>
      </c>
      <c r="B22" s="48">
        <f t="shared" ref="B22:I22" si="5">+B11-B18+B20</f>
        <v>2372000</v>
      </c>
      <c r="C22" s="48">
        <f t="shared" si="5"/>
        <v>16802360</v>
      </c>
      <c r="D22" s="48">
        <f t="shared" si="5"/>
        <v>7376940</v>
      </c>
      <c r="E22" s="48">
        <f t="shared" si="5"/>
        <v>286500</v>
      </c>
      <c r="F22" s="48">
        <f t="shared" si="5"/>
        <v>-4201100</v>
      </c>
      <c r="G22" s="48">
        <f t="shared" si="5"/>
        <v>371160</v>
      </c>
      <c r="H22" s="48">
        <f t="shared" si="5"/>
        <v>9862020</v>
      </c>
      <c r="I22" s="48">
        <f t="shared" si="5"/>
        <v>10621620</v>
      </c>
      <c r="J22" s="48">
        <f>J11-J18+J20</f>
        <v>22383295</v>
      </c>
      <c r="K22" s="48">
        <f>K11-K18+K20</f>
        <v>3849000</v>
      </c>
      <c r="L22" s="48">
        <f>+L11-L18+L20</f>
        <v>0</v>
      </c>
      <c r="M22" s="48">
        <f>+M11-M18+M20</f>
        <v>69723795</v>
      </c>
    </row>
    <row r="23" spans="1:14">
      <c r="A23" s="13" t="s">
        <v>29</v>
      </c>
      <c r="B23" s="22">
        <f t="shared" ref="B23:K23" si="6">B22/B11</f>
        <v>4.4935306041260156E-2</v>
      </c>
      <c r="C23" s="22">
        <f t="shared" si="6"/>
        <v>0.13735008463827558</v>
      </c>
      <c r="D23" s="22">
        <f t="shared" si="6"/>
        <v>5.6258004648015121E-2</v>
      </c>
      <c r="E23" s="22">
        <f t="shared" si="6"/>
        <v>7.5613618368962788E-3</v>
      </c>
      <c r="F23" s="22">
        <f t="shared" si="6"/>
        <v>-0.10996521297563862</v>
      </c>
      <c r="G23" s="22">
        <f t="shared" si="6"/>
        <v>1.3950152896923118E-2</v>
      </c>
      <c r="H23" s="22">
        <f t="shared" si="6"/>
        <v>9.6589861787259451E-2</v>
      </c>
      <c r="I23" s="22">
        <f t="shared" si="6"/>
        <v>0.18884014719462253</v>
      </c>
      <c r="J23" s="22">
        <f t="shared" si="6"/>
        <v>6.5499137421702852E-2</v>
      </c>
      <c r="K23" s="22">
        <f t="shared" si="6"/>
        <v>0.10774269398723547</v>
      </c>
      <c r="L23" s="22">
        <f>IF(L11=0,0,L22/L11)</f>
        <v>0</v>
      </c>
      <c r="M23" s="22">
        <f>M22/M11</f>
        <v>7.3801068225019334E-2</v>
      </c>
    </row>
    <row r="24" spans="1:14">
      <c r="A24" s="5" t="s">
        <v>30</v>
      </c>
      <c r="B24" s="23">
        <v>150000</v>
      </c>
      <c r="C24" s="23">
        <v>1410000</v>
      </c>
      <c r="D24" s="23">
        <v>670000</v>
      </c>
      <c r="E24" s="23">
        <v>320000</v>
      </c>
      <c r="F24" s="23">
        <v>120000</v>
      </c>
      <c r="G24" s="23">
        <v>250000</v>
      </c>
      <c r="H24" s="23">
        <v>210000</v>
      </c>
      <c r="I24" s="23">
        <v>50000</v>
      </c>
      <c r="J24" s="23">
        <v>15000</v>
      </c>
      <c r="K24" s="23">
        <v>3195000</v>
      </c>
      <c r="L24" s="23"/>
      <c r="M24" s="23">
        <v>4040000</v>
      </c>
    </row>
    <row r="25" spans="1:14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>
      <c r="A26" s="13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</row>
    <row r="27" spans="1:14" ht="15.75" thickBot="1">
      <c r="A27" s="13" t="s">
        <v>31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6">
        <f>M22+M26</f>
        <v>69723795</v>
      </c>
    </row>
    <row r="28" spans="1:14" ht="15.75" thickTop="1">
      <c r="A28" s="13"/>
      <c r="C28" s="27"/>
      <c r="M28" s="18"/>
    </row>
    <row r="29" spans="1:14">
      <c r="A29" s="47" t="s">
        <v>32</v>
      </c>
      <c r="D29" s="18"/>
      <c r="E29" s="18"/>
      <c r="F29" s="18"/>
      <c r="M29" s="18"/>
    </row>
    <row r="30" spans="1:14">
      <c r="A30" s="13"/>
      <c r="B30" s="28"/>
      <c r="C30" s="28"/>
      <c r="D30" s="29"/>
      <c r="F30" s="30"/>
      <c r="G30" s="30"/>
    </row>
    <row r="31" spans="1:14">
      <c r="A31" s="31" t="s">
        <v>33</v>
      </c>
      <c r="B31" s="18">
        <f>M11</f>
        <v>944753195</v>
      </c>
      <c r="C31" s="32"/>
      <c r="D31" s="18"/>
    </row>
    <row r="32" spans="1:14">
      <c r="A32" s="5" t="s">
        <v>34</v>
      </c>
      <c r="B32" s="18">
        <f>M27</f>
        <v>69723795</v>
      </c>
      <c r="C32" s="18"/>
      <c r="D32" s="18"/>
    </row>
    <row r="33" spans="1:12">
      <c r="A33" s="5" t="s">
        <v>29</v>
      </c>
      <c r="B33" s="22">
        <f>B32/B31</f>
        <v>7.3801068225019334E-2</v>
      </c>
      <c r="C33" s="18"/>
      <c r="D33" s="18"/>
      <c r="E33" s="18"/>
    </row>
    <row r="34" spans="1:12">
      <c r="B34" s="18"/>
      <c r="C34" s="18"/>
      <c r="D34" s="18"/>
    </row>
    <row r="35" spans="1:12">
      <c r="B35" s="33"/>
      <c r="C35" s="18"/>
      <c r="D35" s="18"/>
    </row>
    <row r="36" spans="1:12">
      <c r="D36" s="18"/>
      <c r="E36" s="18"/>
    </row>
    <row r="37" spans="1:12">
      <c r="A37" s="13" t="s">
        <v>35</v>
      </c>
      <c r="B37" s="18">
        <f>IF(B32&gt;0,-SUM(E46:E50),-SUM(E55:E57))</f>
        <v>-31933667.199999992</v>
      </c>
      <c r="C37" s="18"/>
      <c r="D37" s="18"/>
      <c r="E37" s="18"/>
      <c r="F37" s="18"/>
      <c r="I37" s="18"/>
      <c r="J37" s="18"/>
      <c r="K37" s="18"/>
    </row>
    <row r="38" spans="1:12">
      <c r="A38" s="13"/>
      <c r="B38" s="18"/>
      <c r="D38" s="18"/>
      <c r="E38" s="18"/>
      <c r="I38" s="18"/>
      <c r="J38" s="18"/>
      <c r="K38" s="18"/>
    </row>
    <row r="39" spans="1:12">
      <c r="A39" s="13" t="s">
        <v>10</v>
      </c>
      <c r="B39" s="18"/>
      <c r="D39" s="18"/>
      <c r="E39" s="18"/>
    </row>
    <row r="40" spans="1:12">
      <c r="A40" s="34"/>
      <c r="B40" s="18"/>
      <c r="D40" s="18"/>
      <c r="E40" s="18"/>
    </row>
    <row r="41" spans="1:12">
      <c r="A41" s="13" t="s">
        <v>36</v>
      </c>
      <c r="B41" s="18">
        <f>SUM(B37,B39)/0.98-SUM(B37,B39)</f>
        <v>-651707.49387755245</v>
      </c>
      <c r="C41" s="35"/>
      <c r="D41" s="18"/>
    </row>
    <row r="42" spans="1:12" ht="15.75" thickBot="1">
      <c r="A42" s="13" t="s">
        <v>37</v>
      </c>
      <c r="B42" s="36">
        <f>SUM(B37+B39+B41)</f>
        <v>-32585374.693877544</v>
      </c>
      <c r="F42" s="37"/>
      <c r="G42" s="37"/>
    </row>
    <row r="43" spans="1:12" ht="15.75" thickTop="1">
      <c r="F43" s="37"/>
      <c r="G43" s="37"/>
      <c r="L43" s="37"/>
    </row>
    <row r="44" spans="1:12">
      <c r="B44" s="18"/>
      <c r="C44" s="37"/>
      <c r="D44" s="37" t="s">
        <v>38</v>
      </c>
      <c r="E44" s="37"/>
      <c r="G44" s="38"/>
      <c r="H44" s="38"/>
      <c r="L44" s="39"/>
    </row>
    <row r="45" spans="1:12">
      <c r="A45" s="13" t="s">
        <v>39</v>
      </c>
      <c r="B45" s="5" t="s">
        <v>40</v>
      </c>
      <c r="C45" s="37" t="s">
        <v>41</v>
      </c>
      <c r="D45" s="37" t="s">
        <v>42</v>
      </c>
      <c r="E45" s="37" t="s">
        <v>43</v>
      </c>
      <c r="G45" s="37" t="s">
        <v>44</v>
      </c>
      <c r="H45" s="38"/>
      <c r="L45" s="39"/>
    </row>
    <row r="46" spans="1:12">
      <c r="B46" s="40" t="s">
        <v>45</v>
      </c>
      <c r="C46" s="41">
        <v>0</v>
      </c>
      <c r="D46" s="39">
        <f>IF(G46&lt;=0,0,IF($B$31*0.02&gt;G46,G46,$B$31*0.02))</f>
        <v>18895063.900000002</v>
      </c>
      <c r="E46" s="39">
        <f>+C46*D46</f>
        <v>0</v>
      </c>
      <c r="G46" s="38">
        <f>+IF(B32&lt;0,0,B32)</f>
        <v>69723795</v>
      </c>
      <c r="H46" s="33"/>
      <c r="L46" s="39"/>
    </row>
    <row r="47" spans="1:12">
      <c r="B47" s="40" t="s">
        <v>46</v>
      </c>
      <c r="C47" s="41">
        <v>0.5</v>
      </c>
      <c r="D47" s="39">
        <f>IF(G47&lt;=0,0,IF($B$31*0.04&gt;G47,G47,$B$31*0.04))</f>
        <v>37790127.800000004</v>
      </c>
      <c r="E47" s="39">
        <f>+C47*D47</f>
        <v>18895063.900000002</v>
      </c>
      <c r="G47" s="38">
        <f>+G46-D46</f>
        <v>50828731.099999994</v>
      </c>
      <c r="H47" s="38"/>
      <c r="L47" s="39"/>
    </row>
    <row r="48" spans="1:12">
      <c r="B48" s="40" t="s">
        <v>47</v>
      </c>
      <c r="C48" s="41">
        <v>1</v>
      </c>
      <c r="D48" s="39">
        <f>IF(G48&lt;=0,0,IF($B$31*0.94&gt;G48,G48,$B$31*0.94))</f>
        <v>13038603.29999999</v>
      </c>
      <c r="E48" s="39">
        <f>+C48*D48</f>
        <v>13038603.29999999</v>
      </c>
      <c r="G48" s="38">
        <f>+G47-D47</f>
        <v>13038603.29999999</v>
      </c>
      <c r="H48" s="38"/>
      <c r="L48" s="39"/>
    </row>
    <row r="49" spans="1:12">
      <c r="B49" s="40"/>
      <c r="C49" s="41"/>
      <c r="D49" s="39"/>
      <c r="E49" s="39"/>
    </row>
    <row r="50" spans="1:12">
      <c r="B50" s="40"/>
      <c r="C50" s="41"/>
      <c r="D50" s="39"/>
      <c r="E50" s="39"/>
    </row>
    <row r="51" spans="1:12">
      <c r="B51" s="40"/>
      <c r="C51" s="40"/>
      <c r="E51" s="38"/>
      <c r="F51" s="37"/>
      <c r="G51" s="37"/>
      <c r="L51" s="42"/>
    </row>
    <row r="52" spans="1:12">
      <c r="F52" s="37"/>
      <c r="G52" s="37"/>
      <c r="L52" s="42"/>
    </row>
    <row r="53" spans="1:12">
      <c r="B53" s="18"/>
      <c r="C53" s="37"/>
      <c r="D53" s="37" t="s">
        <v>48</v>
      </c>
      <c r="E53" s="37"/>
      <c r="G53" s="38"/>
      <c r="H53" s="38"/>
      <c r="L53" s="39"/>
    </row>
    <row r="54" spans="1:12">
      <c r="A54" s="13" t="s">
        <v>39</v>
      </c>
      <c r="B54" s="5" t="s">
        <v>49</v>
      </c>
      <c r="C54" s="37" t="s">
        <v>41</v>
      </c>
      <c r="D54" s="37" t="s">
        <v>50</v>
      </c>
      <c r="E54" s="37" t="s">
        <v>51</v>
      </c>
      <c r="G54" s="37" t="s">
        <v>44</v>
      </c>
      <c r="H54" s="38"/>
      <c r="L54" s="39"/>
    </row>
    <row r="55" spans="1:12">
      <c r="B55" s="40" t="s">
        <v>45</v>
      </c>
      <c r="C55" s="41">
        <v>0</v>
      </c>
      <c r="D55" s="39">
        <f>IF(G55&gt;0,0,IF(-$B$31*0.02&lt;G55,G55,-$B$31*0.02))</f>
        <v>0</v>
      </c>
      <c r="E55" s="39">
        <f>+D55*C55</f>
        <v>0</v>
      </c>
      <c r="G55" s="38">
        <f>+IF(B32&gt;0,0,B32)</f>
        <v>0</v>
      </c>
      <c r="H55" s="38"/>
      <c r="L55" s="39"/>
    </row>
    <row r="56" spans="1:12">
      <c r="B56" s="40" t="s">
        <v>52</v>
      </c>
      <c r="C56" s="41">
        <v>1</v>
      </c>
      <c r="D56" s="39">
        <f>IF(G56&gt;0,0,IF(-$B$31*0.98&lt;G56,G56,-$B$31*0.98))</f>
        <v>0</v>
      </c>
      <c r="E56" s="39">
        <f>+D56*C56</f>
        <v>0</v>
      </c>
      <c r="G56" s="38">
        <f>G55-D55</f>
        <v>0</v>
      </c>
      <c r="H56" s="38"/>
    </row>
    <row r="57" spans="1:12">
      <c r="B57" s="40"/>
      <c r="C57" s="41"/>
      <c r="D57" s="39"/>
      <c r="E57" s="39"/>
      <c r="H57" s="38"/>
    </row>
    <row r="58" spans="1:12">
      <c r="B58" s="40"/>
      <c r="C58" s="41"/>
      <c r="D58" s="39"/>
      <c r="E58" s="39"/>
    </row>
    <row r="59" spans="1:12">
      <c r="B59" s="40"/>
      <c r="C59" s="41"/>
      <c r="D59" s="39"/>
      <c r="E59" s="39"/>
    </row>
    <row r="60" spans="1:12" ht="15.75" thickBot="1"/>
    <row r="61" spans="1:12">
      <c r="A61" s="1" t="s">
        <v>53</v>
      </c>
      <c r="B61" s="2"/>
      <c r="C61" s="2"/>
      <c r="D61" s="2"/>
      <c r="E61" s="2"/>
      <c r="F61" s="3"/>
    </row>
    <row r="62" spans="1:12">
      <c r="A62" s="4" t="s">
        <v>54</v>
      </c>
      <c r="F62" s="6"/>
    </row>
    <row r="63" spans="1:12">
      <c r="A63" s="7" t="s">
        <v>55</v>
      </c>
      <c r="F63" s="6"/>
    </row>
    <row r="64" spans="1:12">
      <c r="A64" s="7" t="s">
        <v>56</v>
      </c>
      <c r="F64" s="6"/>
    </row>
    <row r="65" spans="1:8">
      <c r="A65" s="7" t="s">
        <v>57</v>
      </c>
      <c r="F65" s="6"/>
    </row>
    <row r="66" spans="1:8">
      <c r="A66" s="7" t="s">
        <v>58</v>
      </c>
      <c r="B66" s="8"/>
      <c r="C66" s="8"/>
      <c r="D66" s="8"/>
      <c r="E66" s="8"/>
      <c r="F66" s="9"/>
      <c r="G66" s="8"/>
      <c r="H66" s="8"/>
    </row>
    <row r="67" spans="1:8">
      <c r="A67" s="7" t="s">
        <v>59</v>
      </c>
      <c r="F67" s="6"/>
    </row>
    <row r="68" spans="1:8" ht="15" customHeight="1" thickBot="1">
      <c r="A68" s="10" t="s">
        <v>60</v>
      </c>
      <c r="B68" s="11"/>
      <c r="C68" s="11"/>
      <c r="D68" s="11"/>
      <c r="E68" s="11"/>
      <c r="F68" s="12"/>
    </row>
    <row r="69" spans="1:8" ht="12" customHeight="1"/>
  </sheetData>
  <pageMargins left="0.75" right="0.75" top="1" bottom="1" header="0.5" footer="0.5"/>
  <pageSetup scale="34" orientation="landscape" r:id="rId1"/>
  <headerFooter alignWithMargins="0">
    <oddHeader>&amp;L&amp;G&amp;C&amp;"-,Bold"&amp;12&amp;K2F8DCBAHCCCS CONTRACTOR OPERATIONS MANUAL
 POLICY 311 - ATTACHMENT A -
ACC and ACC-RBHA PROGRAM TIERED RECONCILIATION - EXAMPLE
FOR THE CONTRACT YEAR ENDED 09/30/xx
AS OF: xx/xx/xx</oddHeader>
    <oddFooter>&amp;L&amp;"-,Regular"&amp;K2F8DCBEffective Dates: 10/01/22, 10/01/23
Approval Dates: 08/04/22, 05/18/23&amp;C&amp;"-,Bold"&amp;11&amp;K2F8DCB 311 - Attachment A - Page &amp;P of &amp;N</oddFooter>
  </headerFooter>
  <ignoredErrors>
    <ignoredError sqref="L23 M7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1" ma:contentTypeDescription="Create a new document." ma:contentTypeScope="" ma:versionID="10fe3e516ac4b37b576cd6cf83e13614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9b4e45887e0670c7cfd29eaaa996551a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F3AC1A-0799-419B-9FE4-EF6B9525D602}"/>
</file>

<file path=customXml/itemProps2.xml><?xml version="1.0" encoding="utf-8"?>
<ds:datastoreItem xmlns:ds="http://schemas.openxmlformats.org/officeDocument/2006/customXml" ds:itemID="{E32A2CC9-80BC-4271-81AF-F5775CE73B7C}"/>
</file>

<file path=customXml/itemProps3.xml><?xml version="1.0" encoding="utf-8"?>
<ds:datastoreItem xmlns:ds="http://schemas.openxmlformats.org/officeDocument/2006/customXml" ds:itemID="{FD655F30-DA1C-476D-80D1-86DEAD542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AHCCCS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ACOM POLICY 311 ATTACHMENT A</dc:title>
  <dc:subject/>
  <dc:creator>Medina, Laura</dc:creator>
  <cp:keywords/>
  <dc:description/>
  <cp:lastModifiedBy>Parra, Carol</cp:lastModifiedBy>
  <cp:revision/>
  <dcterms:created xsi:type="dcterms:W3CDTF">2018-09-13T04:33:40Z</dcterms:created>
  <dcterms:modified xsi:type="dcterms:W3CDTF">2023-09-11T23:20:12Z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APC">
    <vt:bool>false</vt:bool>
  </property>
  <property fmtid="{D5CDD505-2E9C-101B-9397-08002B2CF9AE}" pid="4" name="APC0">
    <vt:bool>false</vt:bool>
  </property>
  <property fmtid="{D5CDD505-2E9C-101B-9397-08002B2CF9AE}" pid="5" name="Checked Out">
    <vt:bool>false</vt:bool>
  </property>
  <property fmtid="{D5CDD505-2E9C-101B-9397-08002B2CF9AE}" pid="6" name="AD Alternate 2">
    <vt:lpwstr/>
  </property>
  <property fmtid="{D5CDD505-2E9C-101B-9397-08002B2CF9AE}" pid="7" name="AD Alternate 1">
    <vt:lpwstr/>
  </property>
  <property fmtid="{D5CDD505-2E9C-101B-9397-08002B2CF9AE}" pid="8" name="AD1">
    <vt:lpwstr/>
  </property>
  <property fmtid="{D5CDD505-2E9C-101B-9397-08002B2CF9AE}" pid="9" name="IntWorkflow">
    <vt:lpwstr/>
  </property>
  <property fmtid="{D5CDD505-2E9C-101B-9397-08002B2CF9AE}" pid="10" name="AD2">
    <vt:lpwstr/>
  </property>
  <property fmtid="{D5CDD505-2E9C-101B-9397-08002B2CF9AE}" pid="11" name="Urgent">
    <vt:bool>false</vt:bool>
  </property>
  <property fmtid="{D5CDD505-2E9C-101B-9397-08002B2CF9AE}" pid="12" name="AD2Action">
    <vt:lpwstr/>
  </property>
  <property fmtid="{D5CDD505-2E9C-101B-9397-08002B2CF9AE}" pid="13" name="Order">
    <vt:r8>215100</vt:r8>
  </property>
  <property fmtid="{D5CDD505-2E9C-101B-9397-08002B2CF9AE}" pid="14" name="CommentsAD">
    <vt:lpwstr/>
  </property>
  <property fmtid="{D5CDD505-2E9C-101B-9397-08002B2CF9AE}" pid="15" name="Lead">
    <vt:lpwstr/>
  </property>
  <property fmtid="{D5CDD505-2E9C-101B-9397-08002B2CF9AE}" pid="16" name="NotifyAD2">
    <vt:lpwstr/>
  </property>
  <property fmtid="{D5CDD505-2E9C-101B-9397-08002B2CF9AE}" pid="17" name="Archive">
    <vt:lpwstr/>
  </property>
  <property fmtid="{D5CDD505-2E9C-101B-9397-08002B2CF9AE}" pid="18" name="xd_ProgID">
    <vt:lpwstr/>
  </property>
  <property fmtid="{D5CDD505-2E9C-101B-9397-08002B2CF9AE}" pid="19" name="DocumentSetDescription">
    <vt:lpwstr/>
  </property>
  <property fmtid="{D5CDD505-2E9C-101B-9397-08002B2CF9AE}" pid="20" name="AMPMChapter">
    <vt:lpwstr/>
  </property>
  <property fmtid="{D5CDD505-2E9C-101B-9397-08002B2CF9AE}" pid="21" name="AD1Action">
    <vt:lpwstr/>
  </property>
  <property fmtid="{D5CDD505-2E9C-101B-9397-08002B2CF9AE}" pid="22" name="AMPM Chapter test">
    <vt:lpwstr/>
  </property>
  <property fmtid="{D5CDD505-2E9C-101B-9397-08002B2CF9AE}" pid="23" name="Policy">
    <vt:lpwstr/>
  </property>
  <property fmtid="{D5CDD505-2E9C-101B-9397-08002B2CF9AE}" pid="24" name="ComplianceAssetId">
    <vt:lpwstr/>
  </property>
  <property fmtid="{D5CDD505-2E9C-101B-9397-08002B2CF9AE}" pid="25" name="TemplateUrl">
    <vt:lpwstr/>
  </property>
  <property fmtid="{D5CDD505-2E9C-101B-9397-08002B2CF9AE}" pid="26" name="TCN PC">
    <vt:lpwstr/>
  </property>
  <property fmtid="{D5CDD505-2E9C-101B-9397-08002B2CF9AE}" pid="27" name="Analyst">
    <vt:lpwstr/>
  </property>
  <property fmtid="{D5CDD505-2E9C-101B-9397-08002B2CF9AE}" pid="28" name="NotifyAD1">
    <vt:lpwstr/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PolStatus0">
    <vt:lpwstr/>
  </property>
  <property fmtid="{D5CDD505-2E9C-101B-9397-08002B2CF9AE}" pid="32" name="Policy Status">
    <vt:lpwstr/>
  </property>
  <property fmtid="{D5CDD505-2E9C-101B-9397-08002B2CF9AE}" pid="33" name="xd_Signature">
    <vt:bool>false</vt:bool>
  </property>
</Properties>
</file>