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15300" windowHeight="7770" activeTab="3"/>
  </bookViews>
  <sheets>
    <sheet name="AHCCCS 2012-2016" sheetId="1" r:id="rId1"/>
    <sheet name="AHCCCS 2017-2021" sheetId="2" r:id="rId2"/>
    <sheet name="AHCCCS 2022-2026" sheetId="6" r:id="rId3"/>
    <sheet name="Notes" sheetId="10" r:id="rId4"/>
    <sheet name="Sheet1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'AHCCCS 2012-2016'!$A$1:$N$82</definedName>
    <definedName name="_xlnm.Print_Area" localSheetId="1">'AHCCCS 2017-2021'!$A$1:$P$82</definedName>
    <definedName name="_xlnm.Print_Area" localSheetId="2">'AHCCCS 2022-2026'!$A$1:$P$77</definedName>
  </definedNames>
  <calcPr calcId="145621"/>
  <fileRecoveryPr repairLoad="1"/>
</workbook>
</file>

<file path=xl/calcChain.xml><?xml version="1.0" encoding="utf-8"?>
<calcChain xmlns="http://schemas.openxmlformats.org/spreadsheetml/2006/main">
  <c r="J31" i="6" l="1"/>
  <c r="L31" i="6" s="1"/>
  <c r="H31" i="6"/>
  <c r="F31" i="6"/>
  <c r="D31" i="6"/>
  <c r="L31" i="2"/>
  <c r="J31" i="2"/>
  <c r="L46" i="6" l="1"/>
  <c r="L44" i="6"/>
  <c r="L43" i="6"/>
  <c r="J46" i="6"/>
  <c r="J44" i="6"/>
  <c r="J43" i="6"/>
  <c r="H46" i="6"/>
  <c r="H44" i="6"/>
  <c r="H43" i="6"/>
  <c r="F46" i="6"/>
  <c r="F44" i="6"/>
  <c r="F43" i="6"/>
  <c r="D46" i="6"/>
  <c r="D44" i="6"/>
  <c r="D43" i="6"/>
  <c r="D36" i="11" l="1"/>
  <c r="C33" i="11" l="1"/>
  <c r="D26" i="11"/>
  <c r="C36" i="11" s="1"/>
  <c r="E26" i="11"/>
  <c r="F26" i="11"/>
  <c r="G26" i="11"/>
  <c r="C37" i="11" s="1"/>
  <c r="C38" i="11" s="1"/>
  <c r="H26" i="11"/>
  <c r="D27" i="11"/>
  <c r="E27" i="11"/>
  <c r="F27" i="11"/>
  <c r="G27" i="11"/>
  <c r="D37" i="11" s="1"/>
  <c r="D38" i="11" s="1"/>
  <c r="H27" i="11"/>
  <c r="D28" i="11"/>
  <c r="E36" i="11" s="1"/>
  <c r="E28" i="11"/>
  <c r="F28" i="11"/>
  <c r="G28" i="11"/>
  <c r="E37" i="11" s="1"/>
  <c r="E38" i="11" s="1"/>
  <c r="H28" i="11"/>
  <c r="D29" i="11"/>
  <c r="F36" i="11" s="1"/>
  <c r="E29" i="11"/>
  <c r="F29" i="11"/>
  <c r="G29" i="11"/>
  <c r="F37" i="11" s="1"/>
  <c r="F38" i="11" s="1"/>
  <c r="H29" i="11"/>
  <c r="D30" i="11"/>
  <c r="G36" i="11" s="1"/>
  <c r="E30" i="11"/>
  <c r="F30" i="11"/>
  <c r="G30" i="11"/>
  <c r="G37" i="11" s="1"/>
  <c r="G38" i="11" s="1"/>
  <c r="H30" i="11"/>
  <c r="C27" i="11"/>
  <c r="D34" i="11" s="1"/>
  <c r="C28" i="11"/>
  <c r="E34" i="11" s="1"/>
  <c r="E35" i="11" s="1"/>
  <c r="C29" i="11"/>
  <c r="F34" i="11" s="1"/>
  <c r="F35" i="11" s="1"/>
  <c r="C30" i="11"/>
  <c r="G34" i="11" s="1"/>
  <c r="G35" i="11" s="1"/>
  <c r="C26" i="11"/>
  <c r="C34" i="11" s="1"/>
  <c r="C35" i="11" l="1"/>
  <c r="D33" i="11"/>
  <c r="E33" i="11"/>
  <c r="G33" i="11"/>
  <c r="F33" i="11"/>
  <c r="D35" i="11"/>
  <c r="D12" i="11"/>
  <c r="E12" i="11"/>
  <c r="F12" i="11"/>
  <c r="G12" i="11"/>
  <c r="H12" i="11"/>
  <c r="I12" i="11"/>
  <c r="J12" i="11"/>
  <c r="C12" i="11"/>
  <c r="H42" i="2" l="1"/>
  <c r="H40" i="2"/>
  <c r="H39" i="2"/>
  <c r="H38" i="2"/>
  <c r="H37" i="2"/>
  <c r="L44" i="2" l="1"/>
  <c r="J44" i="2"/>
  <c r="H44" i="2"/>
  <c r="F44" i="2"/>
  <c r="L43" i="2"/>
  <c r="J43" i="2"/>
  <c r="H43" i="2"/>
  <c r="F43" i="2"/>
  <c r="H41" i="2"/>
  <c r="F41" i="2"/>
  <c r="D41" i="2"/>
  <c r="L9" i="2"/>
  <c r="J9" i="2"/>
  <c r="H9" i="2"/>
  <c r="F9" i="2"/>
  <c r="D9" i="2"/>
  <c r="F18" i="2" l="1"/>
  <c r="D58" i="2"/>
  <c r="D9" i="6"/>
  <c r="D18" i="2"/>
  <c r="D27" i="2" s="1"/>
  <c r="D72" i="2" s="1"/>
  <c r="F27" i="2"/>
  <c r="F72" i="2" s="1"/>
  <c r="F58" i="2"/>
  <c r="F9" i="6"/>
  <c r="H9" i="6" s="1"/>
  <c r="J9" i="6" s="1"/>
  <c r="L9" i="6" s="1"/>
  <c r="H18" i="2"/>
  <c r="H27" i="2" s="1"/>
  <c r="H58" i="2"/>
  <c r="J58" i="2" s="1"/>
  <c r="N9" i="2"/>
  <c r="L10" i="2"/>
  <c r="L6" i="2"/>
  <c r="L7" i="2"/>
  <c r="L8" i="2"/>
  <c r="L5" i="2"/>
  <c r="J10" i="2"/>
  <c r="J6" i="2"/>
  <c r="J7" i="2"/>
  <c r="J8" i="2"/>
  <c r="J5" i="2"/>
  <c r="L46" i="2"/>
  <c r="J46" i="2"/>
  <c r="H46" i="2"/>
  <c r="F46" i="2"/>
  <c r="D46" i="2"/>
  <c r="L45" i="2"/>
  <c r="J45" i="2"/>
  <c r="H45" i="2"/>
  <c r="F45" i="2"/>
  <c r="D45" i="2"/>
  <c r="D44" i="2"/>
  <c r="D43" i="2"/>
  <c r="F42" i="2"/>
  <c r="D42" i="2"/>
  <c r="F40" i="2"/>
  <c r="D40" i="2"/>
  <c r="F39" i="2"/>
  <c r="D39" i="2"/>
  <c r="F38" i="2"/>
  <c r="D38" i="2"/>
  <c r="F37" i="2"/>
  <c r="D37" i="2"/>
  <c r="H31" i="2"/>
  <c r="F31" i="2"/>
  <c r="D31" i="2"/>
  <c r="L17" i="2"/>
  <c r="L26" i="2" s="1"/>
  <c r="J17" i="2"/>
  <c r="H17" i="2"/>
  <c r="F17" i="2"/>
  <c r="D17" i="2"/>
  <c r="L16" i="2"/>
  <c r="J16" i="2"/>
  <c r="H16" i="2"/>
  <c r="F16" i="2"/>
  <c r="D16" i="2"/>
  <c r="L15" i="2"/>
  <c r="J15" i="2"/>
  <c r="J24" i="2" s="1"/>
  <c r="H15" i="2"/>
  <c r="F15" i="2"/>
  <c r="D15" i="2"/>
  <c r="L14" i="2"/>
  <c r="J14" i="2"/>
  <c r="H14" i="2"/>
  <c r="F14" i="2"/>
  <c r="D14" i="2"/>
  <c r="H10" i="2"/>
  <c r="F10" i="2"/>
  <c r="D10" i="2"/>
  <c r="H8" i="2"/>
  <c r="F8" i="2"/>
  <c r="D8" i="2"/>
  <c r="H7" i="2"/>
  <c r="F7" i="2"/>
  <c r="D7" i="2"/>
  <c r="H6" i="2"/>
  <c r="F6" i="2"/>
  <c r="D6" i="2"/>
  <c r="H5" i="2"/>
  <c r="F5" i="2"/>
  <c r="D5" i="2"/>
  <c r="J23" i="2" l="1"/>
  <c r="L23" i="2"/>
  <c r="L24" i="2"/>
  <c r="J25" i="2"/>
  <c r="P58" i="2"/>
  <c r="H72" i="2"/>
  <c r="L25" i="2"/>
  <c r="J26" i="2"/>
  <c r="J41" i="2"/>
  <c r="N9" i="6"/>
  <c r="H48" i="11" l="1"/>
  <c r="I48" i="11" s="1"/>
  <c r="J18" i="2"/>
  <c r="J27" i="2" s="1"/>
  <c r="H88" i="6"/>
  <c r="F88" i="6"/>
  <c r="D88" i="6"/>
  <c r="N45" i="6"/>
  <c r="N43" i="6"/>
  <c r="J49" i="6"/>
  <c r="H49" i="6"/>
  <c r="F49" i="6"/>
  <c r="J72" i="2" l="1"/>
  <c r="D49" i="6"/>
  <c r="L49" i="6"/>
  <c r="N31" i="6"/>
  <c r="N44" i="6"/>
  <c r="N46" i="6"/>
  <c r="N49" i="6" l="1"/>
  <c r="L51" i="1" l="1"/>
  <c r="L42" i="1"/>
  <c r="J42" i="1"/>
  <c r="L47" i="1"/>
  <c r="J47" i="1"/>
  <c r="H47" i="1"/>
  <c r="F47" i="1"/>
  <c r="D47" i="1"/>
  <c r="D48" i="1"/>
  <c r="L48" i="1"/>
  <c r="L46" i="1"/>
  <c r="L44" i="1"/>
  <c r="L43" i="1"/>
  <c r="L41" i="1"/>
  <c r="L40" i="1"/>
  <c r="J51" i="1"/>
  <c r="H51" i="1"/>
  <c r="F51" i="1"/>
  <c r="D51" i="1"/>
  <c r="J48" i="1"/>
  <c r="H48" i="1"/>
  <c r="F48" i="1"/>
  <c r="J46" i="1"/>
  <c r="H46" i="1"/>
  <c r="F46" i="1"/>
  <c r="D46" i="1"/>
  <c r="H45" i="1"/>
  <c r="F45" i="1"/>
  <c r="D45" i="1"/>
  <c r="J44" i="1"/>
  <c r="H44" i="1"/>
  <c r="F44" i="1"/>
  <c r="D44" i="1"/>
  <c r="J43" i="1"/>
  <c r="H43" i="1"/>
  <c r="F43" i="1"/>
  <c r="D43" i="1"/>
  <c r="H42" i="1"/>
  <c r="F42" i="1"/>
  <c r="D42" i="1"/>
  <c r="J41" i="1"/>
  <c r="H41" i="1"/>
  <c r="F41" i="1"/>
  <c r="D41" i="1"/>
  <c r="J40" i="1"/>
  <c r="H40" i="1"/>
  <c r="F40" i="1"/>
  <c r="D40" i="1"/>
  <c r="L34" i="1"/>
  <c r="J34" i="1"/>
  <c r="H34" i="1"/>
  <c r="F34" i="1"/>
  <c r="D34" i="1"/>
  <c r="D10" i="1"/>
  <c r="L19" i="1"/>
  <c r="J19" i="1"/>
  <c r="H19" i="1"/>
  <c r="F19" i="1"/>
  <c r="D19" i="1"/>
  <c r="L18" i="1"/>
  <c r="J18" i="1"/>
  <c r="H18" i="1"/>
  <c r="F18" i="1"/>
  <c r="D18" i="1"/>
  <c r="L16" i="1"/>
  <c r="J16" i="1"/>
  <c r="H16" i="1"/>
  <c r="F16" i="1"/>
  <c r="D16" i="1"/>
  <c r="L15" i="1"/>
  <c r="J15" i="1"/>
  <c r="H15" i="1"/>
  <c r="F15" i="1"/>
  <c r="D15" i="1"/>
  <c r="L9" i="1"/>
  <c r="L8" i="1"/>
  <c r="L6" i="1"/>
  <c r="L7" i="1"/>
  <c r="L10" i="1"/>
  <c r="L11" i="1"/>
  <c r="L5" i="1"/>
  <c r="J9" i="1"/>
  <c r="J8" i="1"/>
  <c r="J6" i="1"/>
  <c r="J7" i="1"/>
  <c r="J10" i="1"/>
  <c r="J11" i="1"/>
  <c r="J5" i="1"/>
  <c r="H8" i="1"/>
  <c r="H9" i="1"/>
  <c r="H11" i="1"/>
  <c r="H6" i="1"/>
  <c r="H7" i="1"/>
  <c r="H10" i="1"/>
  <c r="H5" i="1"/>
  <c r="F9" i="1"/>
  <c r="F8" i="1"/>
  <c r="F6" i="1"/>
  <c r="F7" i="1"/>
  <c r="F10" i="1"/>
  <c r="F5" i="1"/>
  <c r="D9" i="1"/>
  <c r="D8" i="1"/>
  <c r="D6" i="1"/>
  <c r="D7" i="1"/>
  <c r="D5" i="1"/>
  <c r="F11" i="2"/>
  <c r="F81" i="2" s="1"/>
  <c r="D7" i="6" l="1"/>
  <c r="D5" i="6"/>
  <c r="H11" i="2"/>
  <c r="H81" i="2" s="1"/>
  <c r="H82" i="2" s="1"/>
  <c r="L11" i="2"/>
  <c r="D6" i="6"/>
  <c r="D8" i="6"/>
  <c r="J11" i="2"/>
  <c r="F75" i="2"/>
  <c r="H75" i="2"/>
  <c r="J75" i="2"/>
  <c r="L75" i="2"/>
  <c r="D75" i="2"/>
  <c r="H74" i="2"/>
  <c r="F74" i="2"/>
  <c r="J74" i="2"/>
  <c r="L74" i="2"/>
  <c r="D74" i="2"/>
  <c r="F6" i="6" l="1"/>
  <c r="F7" i="6"/>
  <c r="F8" i="6"/>
  <c r="F5" i="6"/>
  <c r="D10" i="6"/>
  <c r="N75" i="2"/>
  <c r="N74" i="2"/>
  <c r="N44" i="2"/>
  <c r="N43" i="2"/>
  <c r="H7" i="6" l="1"/>
  <c r="F10" i="6"/>
  <c r="F11" i="6" s="1"/>
  <c r="D11" i="6"/>
  <c r="H8" i="6"/>
  <c r="H5" i="6"/>
  <c r="H6" i="6"/>
  <c r="E77" i="1"/>
  <c r="G77" i="1"/>
  <c r="I77" i="1"/>
  <c r="K77" i="1"/>
  <c r="E78" i="1"/>
  <c r="G78" i="1"/>
  <c r="I78" i="1"/>
  <c r="K78" i="1"/>
  <c r="J5" i="6" l="1"/>
  <c r="J8" i="6"/>
  <c r="H10" i="6"/>
  <c r="J6" i="6"/>
  <c r="J7" i="6"/>
  <c r="J78" i="1"/>
  <c r="H78" i="1"/>
  <c r="F78" i="1"/>
  <c r="D78" i="1"/>
  <c r="L77" i="1"/>
  <c r="J77" i="1"/>
  <c r="H77" i="1"/>
  <c r="F77" i="1"/>
  <c r="D77" i="1"/>
  <c r="L7" i="6" l="1"/>
  <c r="L6" i="6"/>
  <c r="J10" i="6"/>
  <c r="J11" i="6" s="1"/>
  <c r="L8" i="6"/>
  <c r="N8" i="6" s="1"/>
  <c r="H11" i="6"/>
  <c r="L5" i="6"/>
  <c r="N5" i="6" s="1"/>
  <c r="F76" i="1"/>
  <c r="D76" i="1"/>
  <c r="N77" i="1"/>
  <c r="J76" i="1"/>
  <c r="H76" i="1"/>
  <c r="N6" i="6" l="1"/>
  <c r="N7" i="6"/>
  <c r="L10" i="6"/>
  <c r="L78" i="1"/>
  <c r="N78" i="1" s="1"/>
  <c r="N10" i="6" l="1"/>
  <c r="N11" i="6" s="1"/>
  <c r="L11" i="6"/>
  <c r="H93" i="2"/>
  <c r="F93" i="2"/>
  <c r="D93" i="2"/>
  <c r="D77" i="2" l="1"/>
  <c r="F77" i="2"/>
  <c r="F76" i="2"/>
  <c r="D76" i="2"/>
  <c r="L27" i="1"/>
  <c r="L71" i="1" s="1"/>
  <c r="J30" i="1"/>
  <c r="J74" i="1" s="1"/>
  <c r="J27" i="1"/>
  <c r="J71" i="1" s="1"/>
  <c r="H49" i="1" l="1"/>
  <c r="J49" i="1"/>
  <c r="H77" i="2"/>
  <c r="H76" i="2"/>
  <c r="F49" i="1"/>
  <c r="F31" i="1"/>
  <c r="F75" i="1" s="1"/>
  <c r="D31" i="1"/>
  <c r="D75" i="1" s="1"/>
  <c r="H20" i="1"/>
  <c r="F20" i="1"/>
  <c r="F29" i="1"/>
  <c r="F73" i="1" s="1"/>
  <c r="F28" i="1"/>
  <c r="F72" i="1" s="1"/>
  <c r="F17" i="1"/>
  <c r="D20" i="1"/>
  <c r="D17" i="1"/>
  <c r="D30" i="1" l="1"/>
  <c r="D74" i="1" s="1"/>
  <c r="H26" i="1"/>
  <c r="H70" i="1" s="1"/>
  <c r="H30" i="1"/>
  <c r="H74" i="1" s="1"/>
  <c r="N34" i="1"/>
  <c r="L76" i="1"/>
  <c r="N76" i="1" s="1"/>
  <c r="J21" i="1"/>
  <c r="J31" i="1" s="1"/>
  <c r="J75" i="1" s="1"/>
  <c r="H21" i="1"/>
  <c r="H31" i="1" s="1"/>
  <c r="H75" i="1" s="1"/>
  <c r="H17" i="1"/>
  <c r="H27" i="1" s="1"/>
  <c r="H71" i="1" s="1"/>
  <c r="L77" i="2"/>
  <c r="J77" i="2"/>
  <c r="J76" i="2"/>
  <c r="D27" i="1"/>
  <c r="D71" i="1" s="1"/>
  <c r="D28" i="1"/>
  <c r="D72" i="1" s="1"/>
  <c r="F26" i="1"/>
  <c r="F70" i="1" s="1"/>
  <c r="F30" i="1"/>
  <c r="F74" i="1" s="1"/>
  <c r="H28" i="1"/>
  <c r="H72" i="1" s="1"/>
  <c r="J25" i="1"/>
  <c r="J69" i="1" s="1"/>
  <c r="J29" i="1"/>
  <c r="J73" i="1" s="1"/>
  <c r="L30" i="1"/>
  <c r="L74" i="1" s="1"/>
  <c r="D25" i="1"/>
  <c r="D69" i="1" s="1"/>
  <c r="F25" i="1"/>
  <c r="F69" i="1" s="1"/>
  <c r="D29" i="1"/>
  <c r="D73" i="1" s="1"/>
  <c r="F27" i="1"/>
  <c r="F71" i="1" s="1"/>
  <c r="J28" i="1"/>
  <c r="J72" i="1" s="1"/>
  <c r="D26" i="1"/>
  <c r="D70" i="1" s="1"/>
  <c r="H25" i="1"/>
  <c r="H69" i="1" s="1"/>
  <c r="H29" i="1"/>
  <c r="H73" i="1" s="1"/>
  <c r="J26" i="1"/>
  <c r="J70" i="1" s="1"/>
  <c r="H79" i="1" l="1"/>
  <c r="D79" i="1"/>
  <c r="J79" i="1"/>
  <c r="N71" i="1"/>
  <c r="N74" i="1"/>
  <c r="F79" i="1"/>
  <c r="N77" i="2"/>
  <c r="D49" i="2"/>
  <c r="H32" i="1"/>
  <c r="N46" i="2"/>
  <c r="L76" i="2"/>
  <c r="N76" i="2" s="1"/>
  <c r="N45" i="2"/>
  <c r="F32" i="1"/>
  <c r="J32" i="1"/>
  <c r="F49" i="2" l="1"/>
  <c r="H94" i="1"/>
  <c r="F94" i="1"/>
  <c r="D94" i="1"/>
  <c r="N51" i="1"/>
  <c r="J62" i="1"/>
  <c r="H62" i="1"/>
  <c r="H61" i="1"/>
  <c r="F61" i="1"/>
  <c r="D61" i="1"/>
  <c r="J60" i="1"/>
  <c r="H60" i="1"/>
  <c r="F60" i="1"/>
  <c r="J59" i="1"/>
  <c r="F59" i="1"/>
  <c r="H58" i="1"/>
  <c r="J57" i="1"/>
  <c r="H57" i="1"/>
  <c r="J56" i="1"/>
  <c r="F56" i="1"/>
  <c r="D56" i="1"/>
  <c r="N10" i="1"/>
  <c r="D60" i="1"/>
  <c r="H59" i="1"/>
  <c r="D58" i="1"/>
  <c r="J12" i="1"/>
  <c r="J81" i="1" s="1"/>
  <c r="H12" i="1"/>
  <c r="H81" i="1" s="1"/>
  <c r="F12" i="1"/>
  <c r="F81" i="1" s="1"/>
  <c r="H82" i="1" l="1"/>
  <c r="J82" i="1"/>
  <c r="H49" i="2"/>
  <c r="N42" i="1"/>
  <c r="N43" i="1"/>
  <c r="F58" i="1"/>
  <c r="N44" i="1"/>
  <c r="N48" i="1"/>
  <c r="H53" i="1"/>
  <c r="F53" i="1"/>
  <c r="H37" i="1"/>
  <c r="F37" i="1"/>
  <c r="F22" i="1"/>
  <c r="J37" i="1"/>
  <c r="N7" i="1"/>
  <c r="N27" i="1"/>
  <c r="J22" i="1"/>
  <c r="J53" i="1"/>
  <c r="D57" i="1"/>
  <c r="D59" i="1"/>
  <c r="D12" i="1"/>
  <c r="D81" i="1" s="1"/>
  <c r="F82" i="1" s="1"/>
  <c r="D32" i="1"/>
  <c r="D49" i="1"/>
  <c r="D53" i="1" s="1"/>
  <c r="H56" i="1"/>
  <c r="F57" i="1"/>
  <c r="N30" i="1"/>
  <c r="N20" i="1" s="1"/>
  <c r="N45" i="1"/>
  <c r="N47" i="1"/>
  <c r="H22" i="1"/>
  <c r="L49" i="2" l="1"/>
  <c r="J49" i="2"/>
  <c r="F65" i="1"/>
  <c r="J65" i="1"/>
  <c r="H65" i="1"/>
  <c r="N17" i="1"/>
  <c r="D37" i="1"/>
  <c r="D22" i="1"/>
  <c r="N49" i="2" l="1"/>
  <c r="N31" i="2"/>
  <c r="D65" i="1"/>
  <c r="D66" i="1" s="1"/>
  <c r="F66" i="1" s="1"/>
  <c r="H66" i="1" s="1"/>
  <c r="J66" i="1" s="1"/>
  <c r="N10" i="2" l="1"/>
  <c r="H23" i="2"/>
  <c r="N11" i="1"/>
  <c r="F24" i="2"/>
  <c r="F23" i="2"/>
  <c r="H24" i="2"/>
  <c r="D23" i="2"/>
  <c r="N5" i="2"/>
  <c r="L28" i="1"/>
  <c r="L72" i="1" s="1"/>
  <c r="N72" i="1" s="1"/>
  <c r="N8" i="1"/>
  <c r="L59" i="1"/>
  <c r="N6" i="2"/>
  <c r="D24" i="2"/>
  <c r="L26" i="1"/>
  <c r="N6" i="1"/>
  <c r="L25" i="1"/>
  <c r="N5" i="1"/>
  <c r="D11" i="2" l="1"/>
  <c r="N26" i="1"/>
  <c r="N16" i="1" s="1"/>
  <c r="N23" i="2"/>
  <c r="N24" i="2"/>
  <c r="F57" i="2"/>
  <c r="F26" i="2"/>
  <c r="F71" i="2" s="1"/>
  <c r="D25" i="2"/>
  <c r="D56" i="2"/>
  <c r="N7" i="2"/>
  <c r="N28" i="1"/>
  <c r="N18" i="1" s="1"/>
  <c r="H56" i="2"/>
  <c r="J56" i="2" s="1"/>
  <c r="P56" i="2" s="1"/>
  <c r="H25" i="2"/>
  <c r="H70" i="2" s="1"/>
  <c r="D57" i="2"/>
  <c r="D26" i="2"/>
  <c r="N8" i="2"/>
  <c r="F25" i="2"/>
  <c r="F70" i="2" s="1"/>
  <c r="F56" i="2"/>
  <c r="H57" i="2"/>
  <c r="J57" i="2" s="1"/>
  <c r="H26" i="2"/>
  <c r="H71" i="2" s="1"/>
  <c r="N25" i="1"/>
  <c r="J40" i="2" l="1"/>
  <c r="H47" i="11" s="1"/>
  <c r="P57" i="2"/>
  <c r="D81" i="2"/>
  <c r="F82" i="2" s="1"/>
  <c r="J39" i="2"/>
  <c r="H46" i="11" s="1"/>
  <c r="J71" i="2"/>
  <c r="D71" i="2"/>
  <c r="N26" i="2"/>
  <c r="D70" i="2"/>
  <c r="N25" i="2"/>
  <c r="L29" i="1"/>
  <c r="L73" i="1" s="1"/>
  <c r="N73" i="1" s="1"/>
  <c r="L60" i="1"/>
  <c r="N9" i="1"/>
  <c r="N12" i="1" s="1"/>
  <c r="L12" i="1"/>
  <c r="L81" i="1" s="1"/>
  <c r="N11" i="2"/>
  <c r="N15" i="1"/>
  <c r="L82" i="1" l="1"/>
  <c r="D82" i="2"/>
  <c r="J70" i="2"/>
  <c r="N29" i="1"/>
  <c r="N19" i="1" l="1"/>
  <c r="N46" i="1" l="1"/>
  <c r="L62" i="1"/>
  <c r="L21" i="1"/>
  <c r="L31" i="1" s="1"/>
  <c r="L75" i="1" s="1"/>
  <c r="N75" i="1" s="1"/>
  <c r="L69" i="1"/>
  <c r="N69" i="1" l="1"/>
  <c r="N31" i="1"/>
  <c r="L32" i="1"/>
  <c r="N40" i="1"/>
  <c r="L56" i="1"/>
  <c r="L49" i="1" l="1"/>
  <c r="L53" i="1" s="1"/>
  <c r="L70" i="1"/>
  <c r="L37" i="1"/>
  <c r="L22" i="1"/>
  <c r="N21" i="1"/>
  <c r="N32" i="1"/>
  <c r="N41" i="1"/>
  <c r="N49" i="1" s="1"/>
  <c r="N53" i="1" s="1"/>
  <c r="L57" i="1"/>
  <c r="N70" i="1" l="1"/>
  <c r="N79" i="1" s="1"/>
  <c r="L79" i="1"/>
  <c r="L65" i="1"/>
  <c r="L66" i="1" s="1"/>
  <c r="N22" i="1"/>
  <c r="N37" i="1"/>
  <c r="N65" i="1" s="1"/>
  <c r="C62" i="2" s="1"/>
  <c r="F19" i="2" l="1"/>
  <c r="F55" i="2"/>
  <c r="F69" i="2"/>
  <c r="F59" i="2"/>
  <c r="F54" i="2"/>
  <c r="F68" i="2"/>
  <c r="F47" i="2"/>
  <c r="F51" i="2" s="1"/>
  <c r="D19" i="2"/>
  <c r="D55" i="2" l="1"/>
  <c r="D69" i="2"/>
  <c r="D59" i="2"/>
  <c r="D68" i="2"/>
  <c r="D54" i="2"/>
  <c r="D47" i="2"/>
  <c r="D51" i="2" s="1"/>
  <c r="H55" i="2"/>
  <c r="J55" i="2" s="1"/>
  <c r="P55" i="2" s="1"/>
  <c r="H69" i="2"/>
  <c r="J38" i="2" l="1"/>
  <c r="J69" i="2" l="1"/>
  <c r="H45" i="11"/>
  <c r="H19" i="2"/>
  <c r="H59" i="2"/>
  <c r="J59" i="2" s="1"/>
  <c r="P59" i="2" s="1"/>
  <c r="H54" i="2"/>
  <c r="J54" i="2" s="1"/>
  <c r="H68" i="2"/>
  <c r="H47" i="2"/>
  <c r="H51" i="2" s="1"/>
  <c r="J37" i="2" l="1"/>
  <c r="H44" i="11" s="1"/>
  <c r="I44" i="11" s="1"/>
  <c r="P54" i="2"/>
  <c r="I45" i="11"/>
  <c r="J42" i="2"/>
  <c r="J19" i="2" l="1"/>
  <c r="J28" i="2" s="1"/>
  <c r="H49" i="11"/>
  <c r="J81" i="2"/>
  <c r="J82" i="2" s="1"/>
  <c r="J47" i="2"/>
  <c r="J51" i="2" s="1"/>
  <c r="J68" i="2"/>
  <c r="I49" i="11" l="1"/>
  <c r="H50" i="11"/>
  <c r="H57" i="11" s="1"/>
  <c r="E49" i="11" s="1"/>
  <c r="F28" i="2"/>
  <c r="F29" i="2" s="1"/>
  <c r="F20" i="2" s="1"/>
  <c r="D28" i="2"/>
  <c r="H56" i="11" l="1"/>
  <c r="E48" i="11" s="1"/>
  <c r="H55" i="11"/>
  <c r="E47" i="11" s="1"/>
  <c r="H54" i="11"/>
  <c r="E46" i="11" s="1"/>
  <c r="H52" i="11"/>
  <c r="H53" i="11"/>
  <c r="E45" i="11" s="1"/>
  <c r="I50" i="11"/>
  <c r="I57" i="11" s="1"/>
  <c r="D49" i="11" s="1"/>
  <c r="C49" i="11" s="1"/>
  <c r="L42" i="2" s="1"/>
  <c r="L59" i="2" s="1"/>
  <c r="D19" i="6" s="1"/>
  <c r="F19" i="6" s="1"/>
  <c r="H19" i="6" s="1"/>
  <c r="J19" i="6" s="1"/>
  <c r="L19" i="6" s="1"/>
  <c r="D29" i="2"/>
  <c r="D34" i="2" s="1"/>
  <c r="D63" i="2" s="1"/>
  <c r="D64" i="2" s="1"/>
  <c r="D73" i="2"/>
  <c r="H28" i="2"/>
  <c r="F34" i="2"/>
  <c r="F63" i="2" s="1"/>
  <c r="F73" i="2"/>
  <c r="F78" i="2" s="1"/>
  <c r="L19" i="2" l="1"/>
  <c r="L28" i="2" s="1"/>
  <c r="N42" i="2"/>
  <c r="E44" i="11"/>
  <c r="E51" i="11" s="1"/>
  <c r="H58" i="11"/>
  <c r="I55" i="11"/>
  <c r="D47" i="11" s="1"/>
  <c r="C47" i="11" s="1"/>
  <c r="L40" i="2" s="1"/>
  <c r="L57" i="2" s="1"/>
  <c r="D17" i="6" s="1"/>
  <c r="F17" i="6" s="1"/>
  <c r="H17" i="6" s="1"/>
  <c r="J17" i="6" s="1"/>
  <c r="L17" i="6" s="1"/>
  <c r="I54" i="11"/>
  <c r="D46" i="11" s="1"/>
  <c r="C46" i="11" s="1"/>
  <c r="L39" i="2" s="1"/>
  <c r="L56" i="2" s="1"/>
  <c r="D16" i="6" s="1"/>
  <c r="F16" i="6" s="1"/>
  <c r="H16" i="6" s="1"/>
  <c r="J16" i="6" s="1"/>
  <c r="L16" i="6" s="1"/>
  <c r="I56" i="11"/>
  <c r="D48" i="11" s="1"/>
  <c r="C48" i="11" s="1"/>
  <c r="L41" i="2" s="1"/>
  <c r="L58" i="2" s="1"/>
  <c r="D18" i="6" s="1"/>
  <c r="F18" i="6" s="1"/>
  <c r="H18" i="6" s="1"/>
  <c r="J18" i="6" s="1"/>
  <c r="L18" i="6" s="1"/>
  <c r="I53" i="11"/>
  <c r="D45" i="11" s="1"/>
  <c r="C45" i="11" s="1"/>
  <c r="L38" i="2" s="1"/>
  <c r="L55" i="2" s="1"/>
  <c r="D15" i="6" s="1"/>
  <c r="F15" i="6" s="1"/>
  <c r="H15" i="6" s="1"/>
  <c r="J15" i="6" s="1"/>
  <c r="L15" i="6" s="1"/>
  <c r="I52" i="11"/>
  <c r="D26" i="6"/>
  <c r="D28" i="6"/>
  <c r="D65" i="2"/>
  <c r="D20" i="2"/>
  <c r="F64" i="2"/>
  <c r="D78" i="2"/>
  <c r="H29" i="2"/>
  <c r="H20" i="2" s="1"/>
  <c r="H73" i="2"/>
  <c r="H78" i="2" s="1"/>
  <c r="D24" i="6" l="1"/>
  <c r="D27" i="6"/>
  <c r="D25" i="6"/>
  <c r="D44" i="11"/>
  <c r="I58" i="11"/>
  <c r="N40" i="2"/>
  <c r="L71" i="2"/>
  <c r="N71" i="2" s="1"/>
  <c r="L69" i="2"/>
  <c r="N69" i="2" s="1"/>
  <c r="N38" i="2"/>
  <c r="L18" i="2"/>
  <c r="L27" i="2" s="1"/>
  <c r="N41" i="2"/>
  <c r="L70" i="2"/>
  <c r="N70" i="2" s="1"/>
  <c r="N39" i="2"/>
  <c r="F27" i="6"/>
  <c r="F25" i="6"/>
  <c r="F24" i="6"/>
  <c r="F28" i="6"/>
  <c r="F26" i="6"/>
  <c r="F65" i="2"/>
  <c r="J29" i="2"/>
  <c r="J20" i="2" s="1"/>
  <c r="J73" i="2"/>
  <c r="J78" i="2" s="1"/>
  <c r="N28" i="2"/>
  <c r="L73" i="2"/>
  <c r="L29" i="2"/>
  <c r="L20" i="2" s="1"/>
  <c r="H34" i="2"/>
  <c r="H63" i="2" s="1"/>
  <c r="C44" i="11" l="1"/>
  <c r="L37" i="2" s="1"/>
  <c r="L54" i="2" s="1"/>
  <c r="D14" i="6" s="1"/>
  <c r="D51" i="11"/>
  <c r="C51" i="11" s="1"/>
  <c r="L72" i="2"/>
  <c r="N72" i="2" s="1"/>
  <c r="N27" i="2"/>
  <c r="H26" i="6"/>
  <c r="H25" i="6"/>
  <c r="H27" i="6"/>
  <c r="H28" i="6"/>
  <c r="H24" i="6"/>
  <c r="H64" i="2"/>
  <c r="N73" i="2"/>
  <c r="J34" i="2"/>
  <c r="J63" i="2" s="1"/>
  <c r="L34" i="2"/>
  <c r="F14" i="6" l="1"/>
  <c r="D23" i="6"/>
  <c r="D29" i="6" s="1"/>
  <c r="N29" i="2"/>
  <c r="N34" i="2" s="1"/>
  <c r="C50" i="11"/>
  <c r="L25" i="6"/>
  <c r="J25" i="6"/>
  <c r="J24" i="6"/>
  <c r="L24" i="6"/>
  <c r="L28" i="6"/>
  <c r="J28" i="6"/>
  <c r="L27" i="6"/>
  <c r="J27" i="6"/>
  <c r="L26" i="6"/>
  <c r="J26" i="6"/>
  <c r="H65" i="2"/>
  <c r="J64" i="2"/>
  <c r="D34" i="6" l="1"/>
  <c r="D20" i="6"/>
  <c r="H14" i="6"/>
  <c r="F23" i="6"/>
  <c r="F29" i="6" s="1"/>
  <c r="L68" i="2"/>
  <c r="L47" i="2"/>
  <c r="L51" i="2" s="1"/>
  <c r="L63" i="2" s="1"/>
  <c r="L64" i="2" s="1"/>
  <c r="C62" i="6" s="1"/>
  <c r="N37" i="2"/>
  <c r="N47" i="2" s="1"/>
  <c r="N51" i="2" s="1"/>
  <c r="L81" i="2"/>
  <c r="L82" i="2" s="1"/>
  <c r="N82" i="2" s="1"/>
  <c r="N25" i="6"/>
  <c r="N27" i="6"/>
  <c r="N26" i="6"/>
  <c r="N28" i="6"/>
  <c r="N24" i="6"/>
  <c r="J65" i="2"/>
  <c r="L65" i="2" s="1"/>
  <c r="N65" i="2" s="1"/>
  <c r="F20" i="6" l="1"/>
  <c r="F34" i="6"/>
  <c r="J14" i="6"/>
  <c r="H23" i="6"/>
  <c r="N68" i="2"/>
  <c r="N78" i="2" s="1"/>
  <c r="L78" i="2"/>
  <c r="L14" i="6" l="1"/>
  <c r="L23" i="6" s="1"/>
  <c r="L29" i="6" s="1"/>
  <c r="J23" i="6"/>
  <c r="J29" i="6" s="1"/>
  <c r="H29" i="6"/>
  <c r="N23" i="6"/>
  <c r="D59" i="6"/>
  <c r="D58" i="6"/>
  <c r="D54" i="6"/>
  <c r="D55" i="6"/>
  <c r="D57" i="6"/>
  <c r="D56" i="6"/>
  <c r="N29" i="6" l="1"/>
  <c r="H34" i="6"/>
  <c r="H20" i="6"/>
  <c r="J20" i="6"/>
  <c r="J34" i="6"/>
  <c r="L20" i="6"/>
  <c r="L34" i="6"/>
  <c r="F55" i="6"/>
  <c r="D38" i="6"/>
  <c r="D39" i="6"/>
  <c r="F56" i="6"/>
  <c r="F58" i="6"/>
  <c r="D41" i="6"/>
  <c r="F57" i="6"/>
  <c r="D40" i="6"/>
  <c r="D42" i="6"/>
  <c r="F59" i="6"/>
  <c r="D37" i="6"/>
  <c r="F54" i="6"/>
  <c r="N34" i="6" l="1"/>
  <c r="H59" i="6"/>
  <c r="F42" i="6"/>
  <c r="H54" i="6"/>
  <c r="F37" i="6"/>
  <c r="F39" i="6"/>
  <c r="H56" i="6"/>
  <c r="D47" i="6"/>
  <c r="D51" i="6" s="1"/>
  <c r="D63" i="6" s="1"/>
  <c r="F40" i="6"/>
  <c r="H57" i="6"/>
  <c r="H58" i="6"/>
  <c r="F41" i="6"/>
  <c r="F38" i="6"/>
  <c r="H55" i="6"/>
  <c r="D64" i="6" l="1"/>
  <c r="D65" i="6" s="1"/>
  <c r="F47" i="6"/>
  <c r="F51" i="6" s="1"/>
  <c r="F63" i="6" s="1"/>
  <c r="J58" i="6"/>
  <c r="H41" i="6"/>
  <c r="H40" i="6"/>
  <c r="J57" i="6"/>
  <c r="H39" i="6"/>
  <c r="J56" i="6"/>
  <c r="H37" i="6"/>
  <c r="J54" i="6"/>
  <c r="J55" i="6"/>
  <c r="H38" i="6"/>
  <c r="J59" i="6"/>
  <c r="H42" i="6"/>
  <c r="J37" i="6" l="1"/>
  <c r="L54" i="6"/>
  <c r="L37" i="6" s="1"/>
  <c r="J39" i="6"/>
  <c r="L56" i="6"/>
  <c r="L39" i="6" s="1"/>
  <c r="J38" i="6"/>
  <c r="L55" i="6"/>
  <c r="L38" i="6" s="1"/>
  <c r="J41" i="6"/>
  <c r="L58" i="6"/>
  <c r="L41" i="6" s="1"/>
  <c r="L57" i="6"/>
  <c r="L40" i="6" s="1"/>
  <c r="J40" i="6"/>
  <c r="F64" i="6"/>
  <c r="F65" i="6"/>
  <c r="L59" i="6"/>
  <c r="L42" i="6" s="1"/>
  <c r="J42" i="6"/>
  <c r="H47" i="6"/>
  <c r="H51" i="6" s="1"/>
  <c r="H63" i="6" s="1"/>
  <c r="N42" i="6" l="1"/>
  <c r="N40" i="6"/>
  <c r="N39" i="6"/>
  <c r="H64" i="6"/>
  <c r="H65" i="6" s="1"/>
  <c r="N41" i="6"/>
  <c r="L47" i="6"/>
  <c r="L51" i="6" s="1"/>
  <c r="L63" i="6" s="1"/>
  <c r="L64" i="6" s="1"/>
  <c r="N38" i="6"/>
  <c r="J47" i="6"/>
  <c r="J51" i="6" s="1"/>
  <c r="J63" i="6" s="1"/>
  <c r="J64" i="6" s="1"/>
  <c r="N37" i="6"/>
  <c r="N47" i="6" l="1"/>
  <c r="N51" i="6" s="1"/>
  <c r="J65" i="6"/>
  <c r="L65" i="6" s="1"/>
  <c r="N65" i="6" s="1"/>
</calcChain>
</file>

<file path=xl/comments1.xml><?xml version="1.0" encoding="utf-8"?>
<comments xmlns="http://schemas.openxmlformats.org/spreadsheetml/2006/main">
  <authors>
    <author>Tegen, Jeffery</author>
  </authors>
  <commentList>
    <comment ref="D50" authorId="0">
      <text>
        <r>
          <rPr>
            <b/>
            <sz val="9"/>
            <color indexed="81"/>
            <rFont val="Tahoma"/>
            <charset val="1"/>
          </rPr>
          <t>Tegen, Jeffery:</t>
        </r>
        <r>
          <rPr>
            <sz val="9"/>
            <color indexed="81"/>
            <rFont val="Tahoma"/>
            <charset val="1"/>
          </rPr>
          <t xml:space="preserve">
Bret Cloninger 7/21/20
</t>
        </r>
      </text>
    </comment>
    <comment ref="E50" authorId="0">
      <text>
        <r>
          <rPr>
            <b/>
            <sz val="9"/>
            <color indexed="81"/>
            <rFont val="Tahoma"/>
            <charset val="1"/>
          </rPr>
          <t>Tegen, Jeffery:</t>
        </r>
        <r>
          <rPr>
            <sz val="9"/>
            <color indexed="81"/>
            <rFont val="Tahoma"/>
            <charset val="1"/>
          </rPr>
          <t xml:space="preserve">
Jon Stall 9/23/20
</t>
        </r>
      </text>
    </comment>
  </commentList>
</comments>
</file>

<file path=xl/sharedStrings.xml><?xml version="1.0" encoding="utf-8"?>
<sst xmlns="http://schemas.openxmlformats.org/spreadsheetml/2006/main" count="289" uniqueCount="105">
  <si>
    <t>Estimate</t>
  </si>
  <si>
    <t>Without Waiver</t>
  </si>
  <si>
    <t>Expenditure Limit Calculation</t>
  </si>
  <si>
    <t>DY 1</t>
  </si>
  <si>
    <t>DY 2</t>
  </si>
  <si>
    <t>DY 3</t>
  </si>
  <si>
    <t>DY 4</t>
  </si>
  <si>
    <t>DY 5</t>
  </si>
  <si>
    <t>Total</t>
  </si>
  <si>
    <t>Member Months</t>
  </si>
  <si>
    <t>TANF/SOBRA</t>
  </si>
  <si>
    <t>SSI</t>
  </si>
  <si>
    <t>AC</t>
  </si>
  <si>
    <t>ALTCS-EPD</t>
  </si>
  <si>
    <t>ALTCS-DD</t>
  </si>
  <si>
    <t>Family Planning Extension</t>
  </si>
  <si>
    <t>Expansion State Adults</t>
  </si>
  <si>
    <t>Combined</t>
  </si>
  <si>
    <t>Without Waiver PMPM</t>
  </si>
  <si>
    <t>Weighted</t>
  </si>
  <si>
    <t>Without Waiver Expenditure Limit</t>
  </si>
  <si>
    <t>DSH Allotment</t>
  </si>
  <si>
    <t>Total Without Waiver Expenditure Limit</t>
  </si>
  <si>
    <t>With Waiver Expenditures</t>
  </si>
  <si>
    <t>AI/AN Uncompensated Care</t>
  </si>
  <si>
    <t>SNCP/DSHP</t>
  </si>
  <si>
    <t>Expenditure Subtotal</t>
  </si>
  <si>
    <t>DSH</t>
  </si>
  <si>
    <t>Total With Waiver Expenditures</t>
  </si>
  <si>
    <t>With Waiver Expenditure PMPMs</t>
  </si>
  <si>
    <t>Budget Neutrality Variance</t>
  </si>
  <si>
    <t>Cumulative Variance</t>
  </si>
  <si>
    <t>Variance by Waiver Group</t>
  </si>
  <si>
    <t>TWG MM</t>
  </si>
  <si>
    <t>Actual</t>
  </si>
  <si>
    <t>DY 6</t>
  </si>
  <si>
    <t>DY 7</t>
  </si>
  <si>
    <t>DY 8</t>
  </si>
  <si>
    <t>DY 9</t>
  </si>
  <si>
    <t>DY 10</t>
  </si>
  <si>
    <t>DY1-DY5 BN Carry-over</t>
  </si>
  <si>
    <t>DY6-DY10 BN Variance</t>
  </si>
  <si>
    <t>Phase-Down of DY6-DY10  Variance</t>
  </si>
  <si>
    <t>Cumulative DY-DY10 Variance</t>
  </si>
  <si>
    <t>DSHP</t>
  </si>
  <si>
    <t>Targeted Investments</t>
  </si>
  <si>
    <t>Pop</t>
  </si>
  <si>
    <t>Exp</t>
  </si>
  <si>
    <t>Variables</t>
  </si>
  <si>
    <t>Population</t>
  </si>
  <si>
    <t>WOW Limit</t>
  </si>
  <si>
    <t>WW Expenditures</t>
  </si>
  <si>
    <t>DY6-DY10 BN Carry-over</t>
  </si>
  <si>
    <t>DY1-DY6 BN Variance</t>
  </si>
  <si>
    <t>Phase-Down of DY1-DY5  Variance</t>
  </si>
  <si>
    <t>Cumulative DY-DY5Variance</t>
  </si>
  <si>
    <t>ARIZONA HEALTH CARE COST CONTAINMENT SYSTEM</t>
  </si>
  <si>
    <t>Newly Eligible Adults</t>
  </si>
  <si>
    <t>https://www.whitehouse.gov/wp-content/uploads/2020/02/budget_fy21.pdf</t>
  </si>
  <si>
    <t>Medicaid</t>
  </si>
  <si>
    <t>Presidents FY21 Budget - Table S-3 Proposed Budget By Category</t>
  </si>
  <si>
    <t>2018 Actuarial Report - Table 22</t>
  </si>
  <si>
    <t>Aged</t>
  </si>
  <si>
    <t>Disabled</t>
  </si>
  <si>
    <t>Children</t>
  </si>
  <si>
    <t>Adults</t>
  </si>
  <si>
    <t>Expansion Adults</t>
  </si>
  <si>
    <t>Average ALL</t>
  </si>
  <si>
    <t>T/S</t>
  </si>
  <si>
    <t>Children/Adults</t>
  </si>
  <si>
    <t>Aged/Disabled</t>
  </si>
  <si>
    <t>ESA</t>
  </si>
  <si>
    <t>NEA</t>
  </si>
  <si>
    <t>Exp. Adults</t>
  </si>
  <si>
    <t>EPD</t>
  </si>
  <si>
    <t>DD</t>
  </si>
  <si>
    <t>HEALTHII</t>
  </si>
  <si>
    <t>BUDGET NEUTRALITY UPDATE NOTES</t>
  </si>
  <si>
    <t>Provider Increase</t>
  </si>
  <si>
    <t>Directed Payments</t>
  </si>
  <si>
    <t>All</t>
  </si>
  <si>
    <t>Acute Only</t>
  </si>
  <si>
    <t>Targeted Investment 2</t>
  </si>
  <si>
    <t>Traditional Healing</t>
  </si>
  <si>
    <t>1) Actual through third quarter of FFY20</t>
  </si>
  <si>
    <t>1) Population growth of 2.0% annually</t>
  </si>
  <si>
    <t>2) Growth in WOW PMPMs based on DHHS 2018 Medicaid Actuarial Report (Table 22)</t>
  </si>
  <si>
    <t>All amounts are for demonstration purposes only.  Actual Budget Neutrality model will</t>
  </si>
  <si>
    <t>be negotiated with CMS over the next twelve months.</t>
  </si>
  <si>
    <t>2017-2021 Assumptions</t>
  </si>
  <si>
    <t>2022-2026 Assumptions</t>
  </si>
  <si>
    <t>3) FFY21 includes new hospital assessment projected TF spend of $1.640 billion</t>
  </si>
  <si>
    <t>2) Budget assumptions for last quarter of FFY20 and all of FFY21</t>
  </si>
  <si>
    <t>Native American Adult Dental</t>
  </si>
  <si>
    <t xml:space="preserve">4) In accordance with State Medicaid Director Letter (#18-009; August 22, 2018) </t>
  </si>
  <si>
    <t>the state is only allowed to carry over 25% of the most recent five years variance.</t>
  </si>
  <si>
    <t>in FFY21.</t>
  </si>
  <si>
    <t>3) Growth in WW PMPMs based on AHCCCS Budget for FY22 and then for FY23-FY26</t>
  </si>
  <si>
    <t>the CMS Office of the Actuary NHE for Medicaid (Table 17)</t>
  </si>
  <si>
    <t>FFY22</t>
  </si>
  <si>
    <t>FFY23</t>
  </si>
  <si>
    <t>FFY24</t>
  </si>
  <si>
    <t>FFY25</t>
  </si>
  <si>
    <t>FFY26</t>
  </si>
  <si>
    <t>4) DSH assumes that the reductions, as defined in the Cares Act, will take place beginning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</si>
</sst>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_);_(* \(#,##0.000\);_(* &quot;-&quot;??_);_(@_)"/>
    <numFmt numFmtId="167" formatCode="_(* #,##0.00000_);_(* \(#,##0.00000\);_(* &quot;-&quot;??_);_(@_)"/>
    <numFmt numFmtId="168" formatCode="0.0%"/>
    <numFmt numFmtId="169" formatCode="0.000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0" xfId="1" applyNumberFormat="1" applyFill="1"/>
    <xf numFmtId="164" fontId="0" fillId="0" borderId="0" xfId="0" applyNumberFormat="1" applyFill="1"/>
    <xf numFmtId="44" fontId="0" fillId="0" borderId="0" xfId="0" applyNumberFormat="1" applyFill="1"/>
    <xf numFmtId="164" fontId="1" fillId="0" borderId="0" xfId="1" applyNumberFormat="1" applyFill="1" applyBorder="1"/>
    <xf numFmtId="0" fontId="3" fillId="0" borderId="0" xfId="0" applyFont="1" applyFill="1"/>
    <xf numFmtId="164" fontId="1" fillId="0" borderId="1" xfId="1" applyNumberFormat="1" applyFill="1" applyBorder="1"/>
    <xf numFmtId="10" fontId="1" fillId="0" borderId="0" xfId="2" applyNumberFormat="1" applyFill="1"/>
    <xf numFmtId="43" fontId="1" fillId="0" borderId="0" xfId="1" applyNumberFormat="1" applyFill="1"/>
    <xf numFmtId="10" fontId="0" fillId="0" borderId="0" xfId="2" applyNumberFormat="1" applyFont="1" applyFill="1"/>
    <xf numFmtId="165" fontId="1" fillId="0" borderId="0" xfId="2" applyNumberFormat="1" applyFill="1"/>
    <xf numFmtId="43" fontId="1" fillId="0" borderId="0" xfId="1" applyNumberFormat="1" applyFill="1" applyBorder="1"/>
    <xf numFmtId="43" fontId="1" fillId="0" borderId="0" xfId="1" applyNumberFormat="1" applyFill="1" applyBorder="1" applyAlignment="1">
      <alignment horizontal="center"/>
    </xf>
    <xf numFmtId="43" fontId="1" fillId="0" borderId="1" xfId="1" applyNumberFormat="1" applyFill="1" applyBorder="1"/>
    <xf numFmtId="43" fontId="0" fillId="0" borderId="0" xfId="0" applyNumberFormat="1" applyFill="1"/>
    <xf numFmtId="166" fontId="1" fillId="0" borderId="0" xfId="1" applyNumberFormat="1" applyFill="1"/>
    <xf numFmtId="167" fontId="1" fillId="0" borderId="0" xfId="1" applyNumberFormat="1" applyFill="1"/>
    <xf numFmtId="43" fontId="1" fillId="0" borderId="0" xfId="1" applyFill="1"/>
    <xf numFmtId="0" fontId="0" fillId="0" borderId="0" xfId="0" applyFill="1" applyBorder="1"/>
    <xf numFmtId="164" fontId="0" fillId="0" borderId="0" xfId="0" applyNumberFormat="1" applyFill="1" applyBorder="1"/>
    <xf numFmtId="164" fontId="0" fillId="0" borderId="2" xfId="0" applyNumberFormat="1" applyFill="1" applyBorder="1"/>
    <xf numFmtId="164" fontId="1" fillId="0" borderId="2" xfId="1" applyNumberFormat="1" applyFill="1" applyBorder="1"/>
    <xf numFmtId="164" fontId="0" fillId="0" borderId="0" xfId="1" applyNumberFormat="1" applyFont="1" applyFill="1"/>
    <xf numFmtId="164" fontId="1" fillId="0" borderId="0" xfId="1" applyNumberFormat="1" applyFont="1" applyFill="1"/>
    <xf numFmtId="164" fontId="0" fillId="0" borderId="0" xfId="0" applyNumberFormat="1" applyFill="1" applyAlignment="1">
      <alignment horizontal="right"/>
    </xf>
    <xf numFmtId="164" fontId="2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1" applyNumberFormat="1" applyFont="1" applyFill="1"/>
    <xf numFmtId="164" fontId="1" fillId="0" borderId="0" xfId="2" applyNumberFormat="1" applyFill="1"/>
    <xf numFmtId="164" fontId="2" fillId="0" borderId="0" xfId="0" applyNumberFormat="1" applyFont="1" applyFill="1"/>
    <xf numFmtId="168" fontId="1" fillId="0" borderId="0" xfId="2" applyNumberFormat="1" applyFill="1"/>
    <xf numFmtId="169" fontId="1" fillId="0" borderId="0" xfId="2" applyNumberFormat="1" applyFill="1"/>
    <xf numFmtId="168" fontId="0" fillId="0" borderId="0" xfId="2" applyNumberFormat="1" applyFont="1" applyFill="1"/>
    <xf numFmtId="168" fontId="0" fillId="0" borderId="0" xfId="2" applyNumberFormat="1" applyFont="1" applyFill="1" applyBorder="1"/>
    <xf numFmtId="10" fontId="0" fillId="0" borderId="0" xfId="2" applyNumberFormat="1" applyFont="1" applyFill="1" applyBorder="1"/>
    <xf numFmtId="0" fontId="1" fillId="0" borderId="0" xfId="0" applyFont="1" applyFill="1"/>
    <xf numFmtId="10" fontId="1" fillId="0" borderId="0" xfId="2" applyNumberFormat="1" applyFill="1" applyBorder="1"/>
    <xf numFmtId="43" fontId="0" fillId="0" borderId="0" xfId="0" applyNumberFormat="1" applyFill="1" applyBorder="1"/>
    <xf numFmtId="166" fontId="1" fillId="0" borderId="0" xfId="1" applyNumberFormat="1" applyFill="1" applyBorder="1"/>
    <xf numFmtId="167" fontId="1" fillId="0" borderId="0" xfId="1" applyNumberFormat="1" applyFill="1" applyBorder="1"/>
    <xf numFmtId="164" fontId="0" fillId="0" borderId="0" xfId="1" applyNumberFormat="1" applyFont="1" applyFill="1" applyBorder="1"/>
    <xf numFmtId="164" fontId="1" fillId="0" borderId="0" xfId="1" applyNumberFormat="1" applyFont="1" applyFill="1" applyBorder="1"/>
    <xf numFmtId="43" fontId="1" fillId="0" borderId="0" xfId="1" applyFill="1" applyBorder="1"/>
    <xf numFmtId="168" fontId="1" fillId="0" borderId="0" xfId="2" applyNumberFormat="1" applyFill="1" applyBorder="1"/>
    <xf numFmtId="43" fontId="1" fillId="0" borderId="1" xfId="1" applyFill="1" applyBorder="1"/>
    <xf numFmtId="0" fontId="1" fillId="0" borderId="0" xfId="0" applyFont="1"/>
    <xf numFmtId="0" fontId="2" fillId="0" borderId="0" xfId="0" applyFont="1"/>
    <xf numFmtId="164" fontId="0" fillId="0" borderId="0" xfId="1" applyNumberFormat="1" applyFont="1"/>
    <xf numFmtId="0" fontId="0" fillId="0" borderId="0" xfId="0" applyAlignment="1">
      <alignment horizontal="center"/>
    </xf>
    <xf numFmtId="168" fontId="0" fillId="0" borderId="0" xfId="2" applyNumberFormat="1" applyFont="1"/>
    <xf numFmtId="0" fontId="4" fillId="0" borderId="0" xfId="3"/>
    <xf numFmtId="0" fontId="2" fillId="0" borderId="0" xfId="0" applyFont="1" applyAlignment="1">
      <alignment horizontal="center"/>
    </xf>
    <xf numFmtId="168" fontId="0" fillId="0" borderId="0" xfId="0" applyNumberFormat="1"/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164" fontId="0" fillId="0" borderId="0" xfId="0" applyNumberFormat="1"/>
    <xf numFmtId="0" fontId="2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168" fontId="0" fillId="0" borderId="3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/REPORTIN/HCFA%20Budget%20Neutrality/Quarterly%20Tracking/FFY%202019/201906/201906%20Old%20Method/201906%20Quarterly%20Tracking%20Jun%20'19%20Qtr%20W002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/SHARE/FY17%20Prog/FMAP%20History%20(Oct%20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06%20AZ%20BN%20Workbook-AHCCCS-1115%20PMDA-20190529%20v2.1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/SHARE/FY22%20Prog%20-%20October%202020%20Revision/DSH/DSH%2021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UD/SHARE/FY22%20Prog/Targeted%20Investments%20Program/Updated%20Funding%20Flow%20Admin%20at%2050%25%20FF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Initial%20Public%20Notice%20-%20Prepared%209-2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Calculation"/>
      <sheetName val="II. Variance"/>
      <sheetName val="III. Summary"/>
      <sheetName val="III.b. Summary by Elg Grp"/>
      <sheetName val="IV. Schedule C as Adjusted"/>
      <sheetName val="IV.b. Schedule C Adj Detail"/>
      <sheetName val="V. MM and Premiums"/>
      <sheetName val="VI. DSH Allocation"/>
      <sheetName val="VII. New Adult Group"/>
      <sheetName val="Variance Comparison Qtr ovr Qtr"/>
      <sheetName val="VIII. GME Allocation"/>
      <sheetName val="MBES Schedule A Jun 2019"/>
      <sheetName val="Reported this Qtr by Waiv by DY"/>
      <sheetName val="MBES Schedule C Mar 2018"/>
      <sheetName val="MBES Schedule C Jun 2019"/>
      <sheetName val="CAH (8)"/>
      <sheetName val="GME (18)"/>
      <sheetName val="DSH-MIHS (22a)"/>
      <sheetName val="DSH-Private (22b)"/>
      <sheetName val="DSH-Private Refunds (22c)"/>
      <sheetName val="DSH-ASH (23)"/>
      <sheetName val="DSH-Private (24)"/>
    </sheetNames>
    <sheetDataSet>
      <sheetData sheetId="0">
        <row r="18">
          <cell r="F18">
            <v>585.2796800000001</v>
          </cell>
          <cell r="M18">
            <v>11704352</v>
          </cell>
        </row>
        <row r="19">
          <cell r="F19">
            <v>885.40740000000005</v>
          </cell>
          <cell r="M19">
            <v>1957433</v>
          </cell>
        </row>
        <row r="20">
          <cell r="M20">
            <v>1633495</v>
          </cell>
        </row>
        <row r="21">
          <cell r="F21">
            <v>4922.375</v>
          </cell>
          <cell r="M21">
            <v>294427</v>
          </cell>
        </row>
        <row r="22">
          <cell r="F22">
            <v>4737.3669200000004</v>
          </cell>
          <cell r="M22">
            <v>343281</v>
          </cell>
        </row>
        <row r="23">
          <cell r="M23">
            <v>50024</v>
          </cell>
        </row>
        <row r="32">
          <cell r="F32">
            <v>615.71422336000012</v>
          </cell>
          <cell r="M32">
            <v>11622919</v>
          </cell>
        </row>
        <row r="33">
          <cell r="F33">
            <v>938.53184400000009</v>
          </cell>
          <cell r="M33">
            <v>1995474</v>
          </cell>
        </row>
        <row r="34">
          <cell r="M34">
            <v>969125</v>
          </cell>
        </row>
        <row r="35">
          <cell r="F35">
            <v>5217.7175000000007</v>
          </cell>
          <cell r="M35">
            <v>307374</v>
          </cell>
        </row>
        <row r="36">
          <cell r="F36">
            <v>4983.7099998400008</v>
          </cell>
          <cell r="M36">
            <v>346428</v>
          </cell>
        </row>
        <row r="37">
          <cell r="M37">
            <v>55971</v>
          </cell>
        </row>
        <row r="46">
          <cell r="F46">
            <v>647.73136297472013</v>
          </cell>
          <cell r="M46">
            <v>11797802</v>
          </cell>
        </row>
        <row r="47">
          <cell r="F47">
            <v>994.84375464000016</v>
          </cell>
          <cell r="M47">
            <v>2075547</v>
          </cell>
        </row>
        <row r="48">
          <cell r="M48">
            <v>206508</v>
          </cell>
        </row>
        <row r="49">
          <cell r="F49">
            <v>5530.7805500000013</v>
          </cell>
          <cell r="M49">
            <v>320872</v>
          </cell>
        </row>
        <row r="50">
          <cell r="F50">
            <v>5242.8629198316812</v>
          </cell>
          <cell r="M50">
            <v>353798</v>
          </cell>
        </row>
        <row r="51">
          <cell r="M51">
            <v>14885</v>
          </cell>
        </row>
        <row r="52">
          <cell r="M52">
            <v>1822917</v>
          </cell>
        </row>
        <row r="61">
          <cell r="F61">
            <v>681.41339384940557</v>
          </cell>
          <cell r="M61">
            <v>12538049</v>
          </cell>
        </row>
        <row r="62">
          <cell r="F62">
            <v>1054.5343799184002</v>
          </cell>
          <cell r="M62">
            <v>2174958</v>
          </cell>
        </row>
        <row r="63">
          <cell r="M63">
            <v>0</v>
          </cell>
        </row>
        <row r="64">
          <cell r="F64">
            <v>5862.6273830000018</v>
          </cell>
          <cell r="M64">
            <v>336869</v>
          </cell>
        </row>
        <row r="65">
          <cell r="F65">
            <v>5515.4917916629292</v>
          </cell>
          <cell r="M65">
            <v>359999</v>
          </cell>
        </row>
        <row r="66">
          <cell r="M66">
            <v>0</v>
          </cell>
        </row>
        <row r="67">
          <cell r="M67">
            <v>3359603</v>
          </cell>
        </row>
        <row r="76">
          <cell r="F76">
            <v>716.84689032957465</v>
          </cell>
          <cell r="M76">
            <v>13087930</v>
          </cell>
        </row>
        <row r="77">
          <cell r="F77">
            <v>1117.8064427135043</v>
          </cell>
          <cell r="M77">
            <v>2214163</v>
          </cell>
        </row>
        <row r="78">
          <cell r="M78">
            <v>0</v>
          </cell>
        </row>
        <row r="79">
          <cell r="F79">
            <v>6214.385025980002</v>
          </cell>
          <cell r="M79">
            <v>350821</v>
          </cell>
        </row>
        <row r="80">
          <cell r="F80">
            <v>5802.2973648294019</v>
          </cell>
          <cell r="M80">
            <v>359110</v>
          </cell>
        </row>
        <row r="81">
          <cell r="M81">
            <v>0</v>
          </cell>
        </row>
        <row r="82">
          <cell r="M82">
            <v>3705353</v>
          </cell>
        </row>
      </sheetData>
      <sheetData sheetId="1"/>
      <sheetData sheetId="2"/>
      <sheetData sheetId="3"/>
      <sheetData sheetId="4">
        <row r="16">
          <cell r="C16">
            <v>917846849</v>
          </cell>
          <cell r="D16">
            <v>582023481</v>
          </cell>
          <cell r="E16">
            <v>123922054</v>
          </cell>
          <cell r="F16">
            <v>36049882</v>
          </cell>
          <cell r="G16">
            <v>48139177</v>
          </cell>
        </row>
        <row r="17">
          <cell r="C17">
            <v>3415708532</v>
          </cell>
          <cell r="D17">
            <v>3582361477</v>
          </cell>
          <cell r="E17">
            <v>3539898256</v>
          </cell>
          <cell r="F17">
            <v>3600525351</v>
          </cell>
          <cell r="G17">
            <v>3982347990</v>
          </cell>
        </row>
        <row r="18">
          <cell r="C18">
            <v>1061603724</v>
          </cell>
          <cell r="D18">
            <v>1166651266</v>
          </cell>
          <cell r="E18">
            <v>1195332840</v>
          </cell>
          <cell r="F18">
            <v>1243620369</v>
          </cell>
          <cell r="G18">
            <v>1262822459</v>
          </cell>
        </row>
        <row r="19">
          <cell r="C19">
            <v>939086691</v>
          </cell>
          <cell r="D19">
            <v>1005552496</v>
          </cell>
          <cell r="E19">
            <v>1067544797</v>
          </cell>
          <cell r="F19">
            <v>1170346154</v>
          </cell>
          <cell r="G19">
            <v>1252959914</v>
          </cell>
        </row>
        <row r="20">
          <cell r="C20">
            <v>155762651</v>
          </cell>
          <cell r="D20">
            <v>163280200</v>
          </cell>
          <cell r="E20">
            <v>162283023</v>
          </cell>
          <cell r="F20">
            <v>152801559</v>
          </cell>
          <cell r="G20">
            <v>170272775</v>
          </cell>
        </row>
        <row r="21">
          <cell r="C21">
            <v>0</v>
          </cell>
          <cell r="D21">
            <v>0</v>
          </cell>
          <cell r="E21">
            <v>1137188645</v>
          </cell>
          <cell r="F21">
            <v>1909454883</v>
          </cell>
          <cell r="G21">
            <v>2097360140</v>
          </cell>
        </row>
        <row r="22">
          <cell r="C22">
            <v>830631</v>
          </cell>
          <cell r="D22">
            <v>1008110</v>
          </cell>
          <cell r="E22">
            <v>190026</v>
          </cell>
          <cell r="F22">
            <v>-1337</v>
          </cell>
          <cell r="G22">
            <v>-763</v>
          </cell>
        </row>
        <row r="23">
          <cell r="C23">
            <v>673818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296636120</v>
          </cell>
          <cell r="D24">
            <v>558334298</v>
          </cell>
          <cell r="E24">
            <v>240250917</v>
          </cell>
          <cell r="F24">
            <v>135561857</v>
          </cell>
          <cell r="G24">
            <v>116750000</v>
          </cell>
        </row>
        <row r="25">
          <cell r="C25">
            <v>1349499952</v>
          </cell>
          <cell r="D25">
            <v>1426826711</v>
          </cell>
          <cell r="E25">
            <v>1545627761</v>
          </cell>
          <cell r="F25">
            <v>1739284853</v>
          </cell>
          <cell r="G25">
            <v>1848114631</v>
          </cell>
        </row>
        <row r="28">
          <cell r="C28">
            <v>22866717</v>
          </cell>
          <cell r="D28">
            <v>97192513</v>
          </cell>
          <cell r="E28">
            <v>53888765</v>
          </cell>
          <cell r="F28">
            <v>13437080</v>
          </cell>
          <cell r="G28">
            <v>7647155</v>
          </cell>
        </row>
      </sheetData>
      <sheetData sheetId="5"/>
      <sheetData sheetId="6"/>
      <sheetData sheetId="7">
        <row r="13">
          <cell r="E13">
            <v>103890985</v>
          </cell>
          <cell r="F13">
            <v>106384369</v>
          </cell>
          <cell r="G13">
            <v>108086519</v>
          </cell>
          <cell r="H13">
            <v>109815903</v>
          </cell>
          <cell r="I13">
            <v>110145351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AP History"/>
      <sheetName val="By Quarter"/>
    </sheetNames>
    <sheetDataSet>
      <sheetData sheetId="0">
        <row r="22">
          <cell r="B22">
            <v>0.67300000000000004</v>
          </cell>
        </row>
        <row r="23">
          <cell r="B23">
            <v>0.65680000000000005</v>
          </cell>
        </row>
        <row r="24">
          <cell r="B24">
            <v>0.67230000000000001</v>
          </cell>
        </row>
        <row r="25">
          <cell r="B25">
            <v>0.68459999999999999</v>
          </cell>
        </row>
        <row r="26">
          <cell r="B26">
            <v>0.68920000000000003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Y Def"/>
      <sheetName val="MEG Def"/>
      <sheetName val="WOW PMPM &amp; Agg"/>
      <sheetName val="Program Spending Limits"/>
      <sheetName val="C Report"/>
      <sheetName val="C Report Grouper"/>
      <sheetName val="Total Adjustments"/>
      <sheetName val="WW Spending Actual"/>
      <sheetName val="WW Spending Projected"/>
      <sheetName val="WW Spending Total"/>
      <sheetName val="MemMon Actual"/>
      <sheetName val="MemMon Projected"/>
      <sheetName val="MemMon Total"/>
      <sheetName val="Summary TC"/>
      <sheetName val="Dropdowns"/>
      <sheetName val="SummaryTC_AP"/>
    </sheetNames>
    <sheetDataSet>
      <sheetData sheetId="0"/>
      <sheetData sheetId="1"/>
      <sheetData sheetId="2"/>
      <sheetData sheetId="3">
        <row r="10">
          <cell r="I10">
            <v>749.11</v>
          </cell>
          <cell r="J10">
            <v>782.82</v>
          </cell>
          <cell r="K10">
            <v>818.05</v>
          </cell>
          <cell r="L10">
            <v>854.86</v>
          </cell>
          <cell r="M10">
            <v>893.33</v>
          </cell>
        </row>
        <row r="11">
          <cell r="I11">
            <v>1162.52</v>
          </cell>
          <cell r="J11">
            <v>1209.02</v>
          </cell>
          <cell r="K11">
            <v>1257.3800000000001</v>
          </cell>
          <cell r="L11">
            <v>1307.68</v>
          </cell>
          <cell r="M11">
            <v>1359.99</v>
          </cell>
        </row>
        <row r="12">
          <cell r="I12">
            <v>6016.98</v>
          </cell>
          <cell r="J12">
            <v>6239.61</v>
          </cell>
          <cell r="K12">
            <v>6470.48</v>
          </cell>
          <cell r="L12">
            <v>6709.89</v>
          </cell>
          <cell r="M12">
            <v>6958.16</v>
          </cell>
        </row>
        <row r="13">
          <cell r="I13">
            <v>6462.96</v>
          </cell>
          <cell r="J13">
            <v>6721.48</v>
          </cell>
          <cell r="K13">
            <v>6990.34</v>
          </cell>
          <cell r="L13">
            <v>7269.95</v>
          </cell>
          <cell r="M13">
            <v>7560.75</v>
          </cell>
        </row>
        <row r="31">
          <cell r="I31">
            <v>160509328.42287695</v>
          </cell>
          <cell r="J31">
            <v>162832936.04235229</v>
          </cell>
          <cell r="K31">
            <v>166932007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I10">
            <v>3943965278</v>
          </cell>
          <cell r="J10">
            <v>4013319586</v>
          </cell>
          <cell r="K10">
            <v>4002226228</v>
          </cell>
        </row>
        <row r="11">
          <cell r="I11">
            <v>1965933865</v>
          </cell>
          <cell r="J11">
            <v>2072927606</v>
          </cell>
          <cell r="K11">
            <v>2104291504</v>
          </cell>
        </row>
        <row r="12">
          <cell r="I12">
            <v>1386780684</v>
          </cell>
          <cell r="J12">
            <v>1437707472</v>
          </cell>
          <cell r="K12">
            <v>1544257849</v>
          </cell>
        </row>
        <row r="13">
          <cell r="I13">
            <v>1382278096</v>
          </cell>
          <cell r="J13">
            <v>1568572942</v>
          </cell>
          <cell r="K13">
            <v>1813888664</v>
          </cell>
        </row>
        <row r="25">
          <cell r="I25">
            <v>19325179</v>
          </cell>
        </row>
        <row r="26">
          <cell r="I26">
            <v>13165373</v>
          </cell>
        </row>
        <row r="31">
          <cell r="I31">
            <v>2294099974</v>
          </cell>
          <cell r="J31">
            <v>2427810870</v>
          </cell>
          <cell r="K31">
            <v>2730558996</v>
          </cell>
        </row>
        <row r="41">
          <cell r="I41">
            <v>463446215</v>
          </cell>
          <cell r="J41">
            <v>467267022</v>
          </cell>
          <cell r="K41">
            <v>466619567</v>
          </cell>
        </row>
        <row r="56">
          <cell r="I56">
            <v>95000000</v>
          </cell>
          <cell r="J56">
            <v>22500000</v>
          </cell>
          <cell r="K56">
            <v>0</v>
          </cell>
          <cell r="L56">
            <v>0</v>
          </cell>
          <cell r="M56">
            <v>0</v>
          </cell>
        </row>
        <row r="57">
          <cell r="I57">
            <v>3208226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</sheetData>
      <sheetData sheetId="11"/>
      <sheetData sheetId="12"/>
      <sheetData sheetId="13">
        <row r="10">
          <cell r="I10">
            <v>13482714</v>
          </cell>
          <cell r="J10">
            <v>12917762</v>
          </cell>
          <cell r="K10">
            <v>12664544</v>
          </cell>
          <cell r="L10">
            <v>13634561</v>
          </cell>
          <cell r="M10">
            <v>14043897</v>
          </cell>
        </row>
        <row r="11">
          <cell r="I11">
            <v>2241231</v>
          </cell>
          <cell r="J11">
            <v>2275213</v>
          </cell>
          <cell r="K11">
            <v>2290383</v>
          </cell>
          <cell r="L11">
            <v>2270211</v>
          </cell>
          <cell r="M11">
            <v>2440426</v>
          </cell>
        </row>
        <row r="12">
          <cell r="I12">
            <v>362059</v>
          </cell>
          <cell r="J12">
            <v>369046</v>
          </cell>
          <cell r="K12">
            <v>383832</v>
          </cell>
          <cell r="L12">
            <v>375790</v>
          </cell>
          <cell r="M12">
            <v>373863</v>
          </cell>
        </row>
        <row r="13">
          <cell r="I13">
            <v>367160</v>
          </cell>
          <cell r="J13">
            <v>384901</v>
          </cell>
          <cell r="K13">
            <v>405830</v>
          </cell>
          <cell r="L13">
            <v>429543</v>
          </cell>
          <cell r="M13">
            <v>460660</v>
          </cell>
        </row>
        <row r="24">
          <cell r="I24">
            <v>3819185</v>
          </cell>
          <cell r="J24">
            <v>3737844</v>
          </cell>
          <cell r="K24">
            <v>3829011</v>
          </cell>
          <cell r="L24">
            <v>4147232</v>
          </cell>
          <cell r="M24">
            <v>4347427</v>
          </cell>
        </row>
        <row r="29">
          <cell r="I29">
            <v>1344121</v>
          </cell>
          <cell r="J29">
            <v>1303370</v>
          </cell>
          <cell r="K29">
            <v>1288157</v>
          </cell>
          <cell r="L29">
            <v>1354338</v>
          </cell>
          <cell r="M29">
            <v>1542792</v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H Summary"/>
      <sheetName val="Table"/>
      <sheetName val="Allotments"/>
      <sheetName val="FMAP"/>
    </sheetNames>
    <sheetDataSet>
      <sheetData sheetId="0" refreshError="1"/>
      <sheetData sheetId="1" refreshError="1"/>
      <sheetData sheetId="2">
        <row r="45">
          <cell r="J45">
            <v>169491285.71428573</v>
          </cell>
        </row>
        <row r="46">
          <cell r="J46">
            <v>120105285.71428572</v>
          </cell>
        </row>
        <row r="47">
          <cell r="J47">
            <v>70805285.714285716</v>
          </cell>
        </row>
        <row r="48">
          <cell r="J48">
            <v>74800142.857142866</v>
          </cell>
        </row>
        <row r="49">
          <cell r="J49">
            <v>78885142.857142866</v>
          </cell>
        </row>
        <row r="50">
          <cell r="J50">
            <v>83062142.857142866</v>
          </cell>
        </row>
        <row r="51">
          <cell r="J51">
            <v>5.295040166897258E-2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dmin"/>
      <sheetName val="Table"/>
      <sheetName val="DHCM"/>
      <sheetName val="Mercer"/>
      <sheetName val="MercerRev"/>
      <sheetName val="Positions"/>
    </sheetNames>
    <sheetDataSet>
      <sheetData sheetId="0">
        <row r="14">
          <cell r="C14">
            <v>70000000</v>
          </cell>
          <cell r="D14">
            <v>90000000</v>
          </cell>
          <cell r="E14">
            <v>70000000</v>
          </cell>
          <cell r="F14">
            <v>50000000</v>
          </cell>
        </row>
        <row r="21">
          <cell r="C21">
            <v>21137600</v>
          </cell>
          <cell r="D21">
            <v>27306100</v>
          </cell>
          <cell r="E21">
            <v>20975000</v>
          </cell>
          <cell r="F21">
            <v>14991000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93">
          <cell r="G93">
            <v>18500000</v>
          </cell>
          <cell r="J93">
            <v>36000000</v>
          </cell>
          <cell r="M93">
            <v>48000000</v>
          </cell>
          <cell r="P93">
            <v>36000000</v>
          </cell>
          <cell r="S93">
            <v>21500000</v>
          </cell>
        </row>
        <row r="94">
          <cell r="G94">
            <v>21723600</v>
          </cell>
          <cell r="J94">
            <v>21723600</v>
          </cell>
          <cell r="M94">
            <v>21723600</v>
          </cell>
          <cell r="P94">
            <v>21723600</v>
          </cell>
          <cell r="S94">
            <v>21723600</v>
          </cell>
        </row>
        <row r="95">
          <cell r="G95">
            <v>74200</v>
          </cell>
          <cell r="J95">
            <v>97500</v>
          </cell>
          <cell r="M95">
            <v>103300</v>
          </cell>
          <cell r="P95">
            <v>114800</v>
          </cell>
          <cell r="S95">
            <v>121100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whitehouse.gov/wp-content/uploads/2020/02/budget_fy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9"/>
  <sheetViews>
    <sheetView topLeftCell="A13" zoomScale="75" zoomScaleNormal="75" workbookViewId="0">
      <selection activeCell="L6" sqref="L6"/>
    </sheetView>
  </sheetViews>
  <sheetFormatPr defaultColWidth="9.140625" defaultRowHeight="12.75" x14ac:dyDescent="0.2"/>
  <cols>
    <col min="1" max="1" width="8.7109375" style="2" customWidth="1"/>
    <col min="2" max="2" width="21.7109375" style="2" customWidth="1"/>
    <col min="3" max="3" width="0.85546875" style="2" customWidth="1"/>
    <col min="4" max="4" width="16.5703125" style="2" bestFit="1" customWidth="1"/>
    <col min="5" max="5" width="0.85546875" style="2" customWidth="1"/>
    <col min="6" max="6" width="16.5703125" style="2" bestFit="1" customWidth="1"/>
    <col min="7" max="7" width="0.85546875" style="2" customWidth="1"/>
    <col min="8" max="8" width="16.5703125" style="2" bestFit="1" customWidth="1"/>
    <col min="9" max="9" width="0.85546875" style="2" customWidth="1"/>
    <col min="10" max="10" width="16.5703125" style="2" bestFit="1" customWidth="1"/>
    <col min="11" max="11" width="0.85546875" style="2" customWidth="1"/>
    <col min="12" max="12" width="16.5703125" style="2" bestFit="1" customWidth="1"/>
    <col min="13" max="13" width="0.85546875" style="2" customWidth="1"/>
    <col min="14" max="14" width="20.140625" style="2" bestFit="1" customWidth="1"/>
    <col min="15" max="15" width="19.42578125" style="2" customWidth="1"/>
    <col min="16" max="16" width="14.7109375" style="2" customWidth="1"/>
    <col min="17" max="17" width="14" style="2" customWidth="1"/>
    <col min="18" max="18" width="15.140625" style="2" customWidth="1"/>
    <col min="19" max="19" width="11" style="2" customWidth="1"/>
    <col min="20" max="20" width="10.85546875" style="2" customWidth="1"/>
    <col min="21" max="21" width="10.28515625" style="2" bestFit="1" customWidth="1"/>
    <col min="22" max="22" width="11.28515625" style="2" bestFit="1" customWidth="1"/>
    <col min="23" max="16384" width="9.140625" style="2"/>
  </cols>
  <sheetData>
    <row r="1" spans="1:28" x14ac:dyDescent="0.2">
      <c r="A1" s="1"/>
      <c r="C1" s="3"/>
      <c r="D1" s="3" t="s">
        <v>34</v>
      </c>
      <c r="E1" s="3"/>
      <c r="F1" s="3" t="s">
        <v>34</v>
      </c>
      <c r="G1" s="3"/>
      <c r="H1" s="3" t="s">
        <v>34</v>
      </c>
      <c r="I1" s="3"/>
      <c r="J1" s="3" t="s">
        <v>34</v>
      </c>
      <c r="K1" s="3"/>
      <c r="L1" s="3" t="s">
        <v>0</v>
      </c>
      <c r="M1" s="3"/>
      <c r="N1" s="3"/>
      <c r="S1" s="4"/>
    </row>
    <row r="2" spans="1:28" x14ac:dyDescent="0.2">
      <c r="A2" s="1" t="s">
        <v>1</v>
      </c>
      <c r="C2" s="5"/>
      <c r="D2" s="5">
        <v>2012</v>
      </c>
      <c r="E2" s="5"/>
      <c r="F2" s="5">
        <v>2013</v>
      </c>
      <c r="G2" s="5"/>
      <c r="H2" s="5">
        <v>2014</v>
      </c>
      <c r="I2" s="5"/>
      <c r="J2" s="5">
        <v>2015</v>
      </c>
      <c r="K2" s="5"/>
      <c r="L2" s="5">
        <v>2016</v>
      </c>
      <c r="M2" s="5"/>
      <c r="N2" s="5"/>
      <c r="S2" s="4"/>
    </row>
    <row r="3" spans="1:28" x14ac:dyDescent="0.2">
      <c r="A3" s="1" t="s">
        <v>2</v>
      </c>
      <c r="C3" s="5"/>
      <c r="D3" s="6" t="s">
        <v>3</v>
      </c>
      <c r="E3" s="5"/>
      <c r="F3" s="6" t="s">
        <v>4</v>
      </c>
      <c r="G3" s="5"/>
      <c r="H3" s="6" t="s">
        <v>5</v>
      </c>
      <c r="I3" s="5"/>
      <c r="J3" s="6" t="s">
        <v>6</v>
      </c>
      <c r="K3" s="5"/>
      <c r="L3" s="6" t="s">
        <v>7</v>
      </c>
      <c r="M3" s="5"/>
      <c r="N3" s="6" t="s">
        <v>8</v>
      </c>
      <c r="S3" s="4"/>
    </row>
    <row r="4" spans="1:28" x14ac:dyDescent="0.2">
      <c r="A4" s="2" t="s">
        <v>9</v>
      </c>
    </row>
    <row r="5" spans="1:28" x14ac:dyDescent="0.2">
      <c r="B5" s="2" t="s">
        <v>10</v>
      </c>
      <c r="C5" s="7"/>
      <c r="D5" s="7">
        <f>'[1]I. Calculation'!$M18</f>
        <v>11704352</v>
      </c>
      <c r="E5" s="7"/>
      <c r="F5" s="7">
        <f>'[1]I. Calculation'!$M32</f>
        <v>11622919</v>
      </c>
      <c r="G5" s="7"/>
      <c r="H5" s="7">
        <f>'[1]I. Calculation'!M46</f>
        <v>11797802</v>
      </c>
      <c r="I5" s="7"/>
      <c r="J5" s="7">
        <f>'[1]I. Calculation'!$M61</f>
        <v>12538049</v>
      </c>
      <c r="K5" s="7"/>
      <c r="L5" s="7">
        <f>'[1]I. Calculation'!$M76</f>
        <v>13087930</v>
      </c>
      <c r="M5" s="7"/>
      <c r="N5" s="7">
        <f>SUM(D5:L5)</f>
        <v>60751052</v>
      </c>
      <c r="O5" s="7"/>
      <c r="P5" s="8"/>
      <c r="Q5" s="9"/>
      <c r="R5" s="9"/>
      <c r="S5" s="9"/>
      <c r="T5" s="9"/>
      <c r="U5" s="9"/>
    </row>
    <row r="6" spans="1:28" x14ac:dyDescent="0.2">
      <c r="B6" s="2" t="s">
        <v>11</v>
      </c>
      <c r="C6" s="10"/>
      <c r="D6" s="7">
        <f>'[1]I. Calculation'!$M19</f>
        <v>1957433</v>
      </c>
      <c r="E6" s="10"/>
      <c r="F6" s="7">
        <f>'[1]I. Calculation'!$M33</f>
        <v>1995474</v>
      </c>
      <c r="G6" s="10"/>
      <c r="H6" s="7">
        <f>'[1]I. Calculation'!M47</f>
        <v>2075547</v>
      </c>
      <c r="I6" s="10"/>
      <c r="J6" s="7">
        <f>'[1]I. Calculation'!$M62</f>
        <v>2174958</v>
      </c>
      <c r="K6" s="10"/>
      <c r="L6" s="7">
        <f>'[1]I. Calculation'!$M77</f>
        <v>2214163</v>
      </c>
      <c r="M6" s="10"/>
      <c r="N6" s="7">
        <f t="shared" ref="N6:N11" si="0">SUM(D6:L6)</f>
        <v>10417575</v>
      </c>
      <c r="O6" s="7"/>
      <c r="P6" s="8"/>
      <c r="Q6" s="9"/>
      <c r="R6" s="9"/>
      <c r="S6" s="9"/>
      <c r="T6" s="9"/>
      <c r="U6" s="9"/>
    </row>
    <row r="7" spans="1:28" x14ac:dyDescent="0.2">
      <c r="B7" s="11" t="s">
        <v>12</v>
      </c>
      <c r="C7" s="10"/>
      <c r="D7" s="7">
        <f>'[1]I. Calculation'!$M20</f>
        <v>1633495</v>
      </c>
      <c r="E7" s="10"/>
      <c r="F7" s="7">
        <f>'[1]I. Calculation'!$M34</f>
        <v>969125</v>
      </c>
      <c r="G7" s="10"/>
      <c r="H7" s="7">
        <f>'[1]I. Calculation'!M48</f>
        <v>206508</v>
      </c>
      <c r="I7" s="10"/>
      <c r="J7" s="7">
        <f>'[1]I. Calculation'!$M63</f>
        <v>0</v>
      </c>
      <c r="K7" s="10"/>
      <c r="L7" s="7">
        <f>'[1]I. Calculation'!$M78</f>
        <v>0</v>
      </c>
      <c r="M7" s="10"/>
      <c r="N7" s="7">
        <f t="shared" si="0"/>
        <v>2809128</v>
      </c>
      <c r="O7" s="7"/>
      <c r="P7" s="8"/>
      <c r="Q7" s="9"/>
      <c r="R7" s="9"/>
      <c r="S7" s="9"/>
      <c r="T7" s="9"/>
      <c r="U7" s="9"/>
    </row>
    <row r="8" spans="1:28" x14ac:dyDescent="0.2">
      <c r="B8" s="2" t="s">
        <v>13</v>
      </c>
      <c r="C8" s="7"/>
      <c r="D8" s="7">
        <f>'[1]I. Calculation'!$M22</f>
        <v>343281</v>
      </c>
      <c r="E8" s="7"/>
      <c r="F8" s="7">
        <f>'[1]I. Calculation'!$M36</f>
        <v>346428</v>
      </c>
      <c r="G8" s="7"/>
      <c r="H8" s="7">
        <f>'[1]I. Calculation'!M50</f>
        <v>353798</v>
      </c>
      <c r="I8" s="7"/>
      <c r="J8" s="7">
        <f>'[1]I. Calculation'!$M65</f>
        <v>359999</v>
      </c>
      <c r="K8" s="7"/>
      <c r="L8" s="7">
        <f>'[1]I. Calculation'!$M80</f>
        <v>359110</v>
      </c>
      <c r="M8" s="7"/>
      <c r="N8" s="7">
        <f t="shared" si="0"/>
        <v>1762616</v>
      </c>
      <c r="O8" s="7"/>
      <c r="P8" s="8"/>
      <c r="Q8" s="9"/>
      <c r="R8" s="9"/>
      <c r="S8" s="9"/>
      <c r="T8" s="9"/>
      <c r="U8" s="9"/>
    </row>
    <row r="9" spans="1:28" x14ac:dyDescent="0.2">
      <c r="B9" s="2" t="s">
        <v>14</v>
      </c>
      <c r="C9" s="7"/>
      <c r="D9" s="7">
        <f>'[1]I. Calculation'!$M21</f>
        <v>294427</v>
      </c>
      <c r="E9" s="7"/>
      <c r="F9" s="7">
        <f>'[1]I. Calculation'!$M35</f>
        <v>307374</v>
      </c>
      <c r="G9" s="7"/>
      <c r="H9" s="7">
        <f>'[1]I. Calculation'!M49</f>
        <v>320872</v>
      </c>
      <c r="I9" s="7"/>
      <c r="J9" s="7">
        <f>'[1]I. Calculation'!$M64</f>
        <v>336869</v>
      </c>
      <c r="K9" s="7"/>
      <c r="L9" s="7">
        <f>'[1]I. Calculation'!$M79</f>
        <v>350821</v>
      </c>
      <c r="M9" s="7"/>
      <c r="N9" s="7">
        <f t="shared" si="0"/>
        <v>1610363</v>
      </c>
      <c r="O9" s="7"/>
      <c r="P9" s="8"/>
      <c r="Q9" s="9"/>
      <c r="R9" s="9"/>
      <c r="S9" s="9"/>
      <c r="T9" s="9"/>
      <c r="U9" s="9"/>
    </row>
    <row r="10" spans="1:28" x14ac:dyDescent="0.2">
      <c r="B10" s="2" t="s">
        <v>15</v>
      </c>
      <c r="C10" s="7"/>
      <c r="D10" s="7">
        <f>'[1]I. Calculation'!$M$23</f>
        <v>50024</v>
      </c>
      <c r="E10" s="7"/>
      <c r="F10" s="7">
        <f>'[1]I. Calculation'!$M37</f>
        <v>55971</v>
      </c>
      <c r="G10" s="7"/>
      <c r="H10" s="7">
        <f>'[1]I. Calculation'!M51</f>
        <v>14885</v>
      </c>
      <c r="I10" s="7"/>
      <c r="J10" s="7">
        <f>'[1]I. Calculation'!$M66</f>
        <v>0</v>
      </c>
      <c r="K10" s="7"/>
      <c r="L10" s="7">
        <f>'[1]I. Calculation'!$M81</f>
        <v>0</v>
      </c>
      <c r="M10" s="7"/>
      <c r="N10" s="7">
        <f t="shared" si="0"/>
        <v>120880</v>
      </c>
      <c r="O10" s="7"/>
      <c r="P10" s="8"/>
      <c r="Q10" s="9"/>
      <c r="R10" s="9"/>
      <c r="S10" s="9"/>
      <c r="T10" s="9"/>
      <c r="U10" s="9"/>
    </row>
    <row r="11" spans="1:28" x14ac:dyDescent="0.2">
      <c r="B11" s="11" t="s">
        <v>16</v>
      </c>
      <c r="C11" s="7"/>
      <c r="D11" s="12"/>
      <c r="E11" s="7"/>
      <c r="F11" s="12">
        <v>0</v>
      </c>
      <c r="G11" s="7"/>
      <c r="H11" s="12">
        <f>'[1]I. Calculation'!M52</f>
        <v>1822917</v>
      </c>
      <c r="I11" s="7"/>
      <c r="J11" s="12">
        <f>'[1]I. Calculation'!$M67</f>
        <v>3359603</v>
      </c>
      <c r="K11" s="7"/>
      <c r="L11" s="12">
        <f>'[1]I. Calculation'!$M82</f>
        <v>3705353</v>
      </c>
      <c r="M11" s="7"/>
      <c r="N11" s="12">
        <f t="shared" si="0"/>
        <v>8887873</v>
      </c>
      <c r="O11" s="7"/>
      <c r="P11" s="8"/>
      <c r="Q11" s="9"/>
      <c r="R11" s="9"/>
      <c r="S11" s="9"/>
      <c r="T11" s="9"/>
      <c r="U11" s="9"/>
    </row>
    <row r="12" spans="1:28" x14ac:dyDescent="0.2">
      <c r="B12" s="2" t="s">
        <v>17</v>
      </c>
      <c r="C12" s="7"/>
      <c r="D12" s="8">
        <f>SUM(D5:D11)</f>
        <v>15983012</v>
      </c>
      <c r="E12" s="7"/>
      <c r="F12" s="8">
        <f>SUM(F5:F11)</f>
        <v>15297291</v>
      </c>
      <c r="G12" s="7"/>
      <c r="H12" s="8">
        <f>SUM(H5:H11)</f>
        <v>16592329</v>
      </c>
      <c r="I12" s="7"/>
      <c r="J12" s="8">
        <f>SUM(J5:J11)</f>
        <v>18769478</v>
      </c>
      <c r="K12" s="7"/>
      <c r="L12" s="8">
        <f>SUM(L5:L11)</f>
        <v>19717377</v>
      </c>
      <c r="M12" s="7"/>
      <c r="N12" s="8">
        <f>SUM(N5:N11)</f>
        <v>86359487</v>
      </c>
    </row>
    <row r="13" spans="1:28" x14ac:dyDescent="0.2">
      <c r="C13" s="7"/>
      <c r="D13" s="8"/>
      <c r="E13" s="7"/>
      <c r="F13" s="8"/>
      <c r="G13" s="7"/>
      <c r="H13" s="8"/>
      <c r="I13" s="7"/>
      <c r="J13" s="8"/>
      <c r="K13" s="7"/>
      <c r="L13" s="8"/>
      <c r="M13" s="7"/>
      <c r="N13" s="7"/>
    </row>
    <row r="14" spans="1:28" x14ac:dyDescent="0.2">
      <c r="A14" s="2" t="s">
        <v>18</v>
      </c>
      <c r="C14" s="7"/>
      <c r="D14" s="13"/>
      <c r="E14" s="7"/>
      <c r="F14" s="13"/>
      <c r="G14" s="7"/>
      <c r="H14" s="13"/>
      <c r="I14" s="7"/>
      <c r="J14" s="13"/>
      <c r="K14" s="7"/>
      <c r="L14" s="13"/>
      <c r="M14" s="7"/>
      <c r="N14" s="13"/>
    </row>
    <row r="15" spans="1:28" x14ac:dyDescent="0.2">
      <c r="B15" s="2" t="s">
        <v>10</v>
      </c>
      <c r="C15" s="14"/>
      <c r="D15" s="14">
        <f>'[1]I. Calculation'!$F$18</f>
        <v>585.2796800000001</v>
      </c>
      <c r="E15" s="14"/>
      <c r="F15" s="14">
        <f>'[1]I. Calculation'!$F$32</f>
        <v>615.71422336000012</v>
      </c>
      <c r="G15" s="14"/>
      <c r="H15" s="14">
        <f>'[1]I. Calculation'!$F$46</f>
        <v>647.73136297472013</v>
      </c>
      <c r="I15" s="14"/>
      <c r="J15" s="14">
        <f>'[1]I. Calculation'!$F$61</f>
        <v>681.41339384940557</v>
      </c>
      <c r="K15" s="14"/>
      <c r="L15" s="14">
        <f>'[1]I. Calculation'!$F$76</f>
        <v>716.84689032957465</v>
      </c>
      <c r="M15" s="14"/>
      <c r="N15" s="14">
        <f>N25/N5</f>
        <v>651.41520101883555</v>
      </c>
      <c r="O15" s="15"/>
      <c r="P15" s="13"/>
      <c r="Q15" s="15"/>
      <c r="R15" s="13"/>
      <c r="S15" s="9"/>
      <c r="T15" s="16"/>
      <c r="U15" s="9"/>
      <c r="V15" s="16"/>
      <c r="W15" s="9"/>
      <c r="X15" s="16"/>
      <c r="Y15" s="9"/>
      <c r="Z15" s="16"/>
      <c r="AA15" s="9"/>
      <c r="AB15" s="16"/>
    </row>
    <row r="16" spans="1:28" x14ac:dyDescent="0.2">
      <c r="B16" s="2" t="s">
        <v>11</v>
      </c>
      <c r="C16" s="17"/>
      <c r="D16" s="14">
        <f>'[1]I. Calculation'!$F$19</f>
        <v>885.40740000000005</v>
      </c>
      <c r="E16" s="17"/>
      <c r="F16" s="14">
        <f>'[1]I. Calculation'!$F$33</f>
        <v>938.53184400000009</v>
      </c>
      <c r="G16" s="17"/>
      <c r="H16" s="14">
        <f>'[1]I. Calculation'!$F$47</f>
        <v>994.84375464000016</v>
      </c>
      <c r="I16" s="17"/>
      <c r="J16" s="14">
        <f>'[1]I. Calculation'!$F$62</f>
        <v>1054.5343799184002</v>
      </c>
      <c r="K16" s="17"/>
      <c r="L16" s="14">
        <f>'[1]I. Calculation'!$F$77</f>
        <v>1117.8064427135043</v>
      </c>
      <c r="M16" s="17"/>
      <c r="N16" s="14">
        <f t="shared" ref="N16:N21" si="1">N26/N6</f>
        <v>1002.0911948305119</v>
      </c>
      <c r="O16" s="15"/>
      <c r="P16" s="13"/>
      <c r="Q16" s="15"/>
      <c r="R16" s="13"/>
      <c r="T16" s="16"/>
      <c r="V16" s="16"/>
      <c r="X16" s="16"/>
      <c r="Z16" s="16"/>
      <c r="AB16" s="16"/>
    </row>
    <row r="17" spans="1:28" x14ac:dyDescent="0.2">
      <c r="B17" s="11" t="s">
        <v>12</v>
      </c>
      <c r="C17" s="18"/>
      <c r="D17" s="14">
        <f>D42/D7</f>
        <v>562.30393542679963</v>
      </c>
      <c r="E17" s="18"/>
      <c r="F17" s="14">
        <f>F42/F7</f>
        <v>600.5659548561847</v>
      </c>
      <c r="G17" s="18"/>
      <c r="H17" s="14">
        <f>H42/H7</f>
        <v>600.08355124256684</v>
      </c>
      <c r="I17" s="18"/>
      <c r="J17" s="14">
        <v>0</v>
      </c>
      <c r="K17" s="18"/>
      <c r="L17" s="14">
        <v>0</v>
      </c>
      <c r="M17" s="18"/>
      <c r="N17" s="14">
        <f t="shared" si="1"/>
        <v>608.25112312432896</v>
      </c>
      <c r="O17" s="15"/>
      <c r="P17" s="13"/>
      <c r="Q17" s="15"/>
      <c r="R17" s="13"/>
      <c r="T17" s="16"/>
      <c r="V17" s="16"/>
      <c r="X17" s="16"/>
      <c r="Z17" s="16"/>
      <c r="AB17" s="16"/>
    </row>
    <row r="18" spans="1:28" x14ac:dyDescent="0.2">
      <c r="B18" s="2" t="s">
        <v>13</v>
      </c>
      <c r="C18" s="17"/>
      <c r="D18" s="14">
        <f>'[1]I. Calculation'!$F$22</f>
        <v>4737.3669200000004</v>
      </c>
      <c r="E18" s="17"/>
      <c r="F18" s="14">
        <f>'[1]I. Calculation'!$F$36</f>
        <v>4983.7099998400008</v>
      </c>
      <c r="G18" s="17"/>
      <c r="H18" s="14">
        <f>'[1]I. Calculation'!$F$50</f>
        <v>5242.8629198316812</v>
      </c>
      <c r="I18" s="17"/>
      <c r="J18" s="14">
        <f>'[1]I. Calculation'!$F$65</f>
        <v>5515.4917916629292</v>
      </c>
      <c r="K18" s="17"/>
      <c r="L18" s="14">
        <f>'[1]I. Calculation'!$F$80</f>
        <v>5802.2973648294019</v>
      </c>
      <c r="M18" s="17"/>
      <c r="N18" s="14">
        <f t="shared" si="1"/>
        <v>5263.1393865654518</v>
      </c>
      <c r="O18" s="15"/>
      <c r="P18" s="13"/>
      <c r="Q18" s="15"/>
      <c r="R18" s="13"/>
      <c r="T18" s="16"/>
      <c r="V18" s="16"/>
      <c r="X18" s="16"/>
      <c r="Z18" s="16"/>
      <c r="AB18" s="16"/>
    </row>
    <row r="19" spans="1:28" x14ac:dyDescent="0.2">
      <c r="B19" s="2" t="s">
        <v>14</v>
      </c>
      <c r="C19" s="14"/>
      <c r="D19" s="14">
        <f>'[1]I. Calculation'!$F$21</f>
        <v>4922.375</v>
      </c>
      <c r="E19" s="14"/>
      <c r="F19" s="14">
        <f>'[1]I. Calculation'!$F$35</f>
        <v>5217.7175000000007</v>
      </c>
      <c r="G19" s="14"/>
      <c r="H19" s="14">
        <f>'[1]I. Calculation'!$F$49</f>
        <v>5530.7805500000013</v>
      </c>
      <c r="I19" s="14"/>
      <c r="J19" s="14">
        <f>'[1]I. Calculation'!$F$64</f>
        <v>5862.6273830000018</v>
      </c>
      <c r="K19" s="14"/>
      <c r="L19" s="14">
        <f>'[1]I. Calculation'!$F$79</f>
        <v>6214.385025980002</v>
      </c>
      <c r="M19" s="14"/>
      <c r="N19" s="14">
        <f t="shared" si="1"/>
        <v>5578.1321433072917</v>
      </c>
      <c r="O19" s="15"/>
      <c r="P19" s="13"/>
      <c r="Q19" s="15"/>
      <c r="R19" s="13"/>
      <c r="T19" s="16"/>
      <c r="V19" s="16"/>
      <c r="X19" s="16"/>
      <c r="Z19" s="16"/>
      <c r="AB19" s="16"/>
    </row>
    <row r="20" spans="1:28" x14ac:dyDescent="0.2">
      <c r="B20" s="2" t="s">
        <v>15</v>
      </c>
      <c r="C20" s="14"/>
      <c r="D20" s="14">
        <f>D45/D10</f>
        <v>16.604649768111308</v>
      </c>
      <c r="E20" s="14"/>
      <c r="F20" s="14">
        <f>F45/F10</f>
        <v>18.011291561701597</v>
      </c>
      <c r="G20" s="14"/>
      <c r="H20" s="14">
        <f>H45/H10</f>
        <v>12.766274773261673</v>
      </c>
      <c r="I20" s="14"/>
      <c r="J20" s="14">
        <v>0</v>
      </c>
      <c r="K20" s="14"/>
      <c r="L20" s="14">
        <v>0</v>
      </c>
      <c r="M20" s="14"/>
      <c r="N20" s="14">
        <f t="shared" si="1"/>
        <v>16.783314030443417</v>
      </c>
      <c r="O20" s="15"/>
      <c r="P20" s="13"/>
      <c r="Q20" s="15"/>
      <c r="R20" s="13"/>
      <c r="T20" s="16"/>
      <c r="V20" s="16"/>
      <c r="X20" s="16"/>
      <c r="Z20" s="16"/>
      <c r="AB20" s="16"/>
    </row>
    <row r="21" spans="1:28" x14ac:dyDescent="0.2">
      <c r="B21" s="11" t="s">
        <v>16</v>
      </c>
      <c r="C21" s="14"/>
      <c r="D21" s="19">
        <v>0</v>
      </c>
      <c r="E21" s="14"/>
      <c r="F21" s="19">
        <v>0</v>
      </c>
      <c r="G21" s="14"/>
      <c r="H21" s="19">
        <f>H46/H11</f>
        <v>623.82908547125294</v>
      </c>
      <c r="I21" s="14"/>
      <c r="J21" s="19">
        <f>J46/J11</f>
        <v>579.0876972666116</v>
      </c>
      <c r="K21" s="14"/>
      <c r="L21" s="19">
        <f>L46/L11</f>
        <v>579.02696909039435</v>
      </c>
      <c r="M21" s="14"/>
      <c r="N21" s="19">
        <f t="shared" si="1"/>
        <v>588.23891014194282</v>
      </c>
      <c r="O21" s="15"/>
      <c r="P21" s="13"/>
      <c r="Q21" s="15"/>
      <c r="R21" s="13"/>
      <c r="T21" s="16"/>
      <c r="V21" s="16"/>
      <c r="X21" s="16"/>
      <c r="Z21" s="16"/>
      <c r="AB21" s="16"/>
    </row>
    <row r="22" spans="1:28" x14ac:dyDescent="0.2">
      <c r="B22" s="2" t="s">
        <v>19</v>
      </c>
      <c r="C22" s="7"/>
      <c r="D22" s="20">
        <f>D32/D12</f>
        <v>786.98085893704399</v>
      </c>
      <c r="E22" s="7"/>
      <c r="F22" s="20">
        <f>F32/F12</f>
        <v>846.06688960841609</v>
      </c>
      <c r="G22" s="7"/>
      <c r="H22" s="20">
        <f>H32/H12</f>
        <v>879.77637719984205</v>
      </c>
      <c r="I22" s="7"/>
      <c r="J22" s="20">
        <f>J32/J12</f>
        <v>893.96338606803022</v>
      </c>
      <c r="K22" s="7"/>
      <c r="L22" s="20">
        <f>L32/L12</f>
        <v>928.85001173595379</v>
      </c>
      <c r="M22" s="7"/>
      <c r="N22" s="20">
        <f>N32/N12</f>
        <v>870.91887183576489</v>
      </c>
      <c r="P22" s="13"/>
      <c r="Q22" s="13"/>
      <c r="R22" s="13"/>
      <c r="S22" s="13"/>
      <c r="T22" s="13"/>
      <c r="U22" s="13"/>
      <c r="V22" s="13"/>
      <c r="W22" s="13"/>
    </row>
    <row r="23" spans="1:28" x14ac:dyDescent="0.2">
      <c r="C23" s="7"/>
      <c r="D23" s="21"/>
      <c r="E23" s="7"/>
      <c r="F23" s="22"/>
      <c r="G23" s="7"/>
      <c r="H23" s="22"/>
      <c r="I23" s="7"/>
      <c r="J23" s="22"/>
      <c r="K23" s="7"/>
      <c r="L23" s="22"/>
      <c r="M23" s="7"/>
      <c r="N23" s="23"/>
    </row>
    <row r="24" spans="1:28" x14ac:dyDescent="0.2">
      <c r="A24" s="2" t="s">
        <v>20</v>
      </c>
      <c r="C24" s="7"/>
      <c r="D24" s="22"/>
      <c r="E24" s="7"/>
      <c r="F24" s="22"/>
      <c r="G24" s="7"/>
      <c r="H24" s="22"/>
      <c r="I24" s="7"/>
      <c r="J24" s="22"/>
      <c r="K24" s="7"/>
      <c r="L24" s="22"/>
      <c r="M24" s="7"/>
      <c r="N24" s="7"/>
      <c r="P24" s="24"/>
    </row>
    <row r="25" spans="1:28" x14ac:dyDescent="0.2">
      <c r="B25" s="2" t="s">
        <v>10</v>
      </c>
      <c r="C25" s="7"/>
      <c r="D25" s="7">
        <f>D15*D5</f>
        <v>6850319393.1673613</v>
      </c>
      <c r="E25" s="7"/>
      <c r="F25" s="7">
        <f>F15*F5</f>
        <v>7156396545.2611895</v>
      </c>
      <c r="G25" s="7"/>
      <c r="H25" s="7">
        <f>H15*H5</f>
        <v>7641806369.5658789</v>
      </c>
      <c r="I25" s="7"/>
      <c r="J25" s="7">
        <f>J15*J5</f>
        <v>8543594521.3401461</v>
      </c>
      <c r="K25" s="7"/>
      <c r="L25" s="7">
        <f>L15*L5</f>
        <v>9382041921.3511505</v>
      </c>
      <c r="M25" s="7"/>
      <c r="N25" s="7">
        <f>SUM(D25:L25)</f>
        <v>39574158750.68573</v>
      </c>
      <c r="O25" s="9"/>
      <c r="P25" s="25"/>
    </row>
    <row r="26" spans="1:28" x14ac:dyDescent="0.2">
      <c r="B26" s="2" t="s">
        <v>11</v>
      </c>
      <c r="C26" s="10"/>
      <c r="D26" s="7">
        <f>D16*D6</f>
        <v>1733125663.2042</v>
      </c>
      <c r="E26" s="10"/>
      <c r="F26" s="7">
        <f>F16*F6</f>
        <v>1872815892.8740561</v>
      </c>
      <c r="G26" s="10"/>
      <c r="H26" s="7">
        <f>H16*H6</f>
        <v>2064844970.4117885</v>
      </c>
      <c r="I26" s="10"/>
      <c r="J26" s="7">
        <f>J16*J6</f>
        <v>2293567985.8785639</v>
      </c>
      <c r="K26" s="10"/>
      <c r="L26" s="7">
        <f>L16*L6</f>
        <v>2475005666.6178608</v>
      </c>
      <c r="M26" s="10"/>
      <c r="N26" s="7">
        <f t="shared" ref="N26:N31" si="2">SUM(D26:L26)</f>
        <v>10439360178.986469</v>
      </c>
      <c r="O26" s="9"/>
      <c r="P26" s="25"/>
    </row>
    <row r="27" spans="1:28" x14ac:dyDescent="0.2">
      <c r="B27" s="11" t="s">
        <v>12</v>
      </c>
      <c r="C27" s="10"/>
      <c r="D27" s="7">
        <f t="shared" ref="D27:F31" si="3">D17*D7</f>
        <v>918520667</v>
      </c>
      <c r="E27" s="10"/>
      <c r="F27" s="7">
        <f t="shared" si="3"/>
        <v>582023481</v>
      </c>
      <c r="G27" s="10"/>
      <c r="H27" s="7">
        <f t="shared" ref="H27" si="4">H17*H7</f>
        <v>123922054</v>
      </c>
      <c r="I27" s="10"/>
      <c r="J27" s="7">
        <f>J42</f>
        <v>36049882</v>
      </c>
      <c r="K27" s="10"/>
      <c r="L27" s="7">
        <f>L42</f>
        <v>48139177</v>
      </c>
      <c r="M27" s="10"/>
      <c r="N27" s="7">
        <f t="shared" si="2"/>
        <v>1708655261</v>
      </c>
      <c r="O27" s="9"/>
      <c r="P27" s="25"/>
    </row>
    <row r="28" spans="1:28" x14ac:dyDescent="0.2">
      <c r="B28" s="2" t="s">
        <v>13</v>
      </c>
      <c r="C28" s="10"/>
      <c r="D28" s="7">
        <f t="shared" si="3"/>
        <v>1626248053.66452</v>
      </c>
      <c r="E28" s="10"/>
      <c r="F28" s="7">
        <f t="shared" si="3"/>
        <v>1726496687.8245718</v>
      </c>
      <c r="G28" s="10"/>
      <c r="H28" s="7">
        <f t="shared" ref="H28" si="5">H18*H8</f>
        <v>1854914415.3106091</v>
      </c>
      <c r="I28" s="10"/>
      <c r="J28" s="7">
        <f t="shared" ref="J28" si="6">J18*J8</f>
        <v>1985571529.5068629</v>
      </c>
      <c r="K28" s="10"/>
      <c r="L28" s="7">
        <f t="shared" ref="L28" si="7">L18*L8</f>
        <v>2083663006.6838865</v>
      </c>
      <c r="M28" s="10"/>
      <c r="N28" s="7">
        <f t="shared" si="2"/>
        <v>9276893692.9904499</v>
      </c>
      <c r="O28" s="9"/>
      <c r="P28" s="25"/>
    </row>
    <row r="29" spans="1:28" x14ac:dyDescent="0.2">
      <c r="B29" s="2" t="s">
        <v>14</v>
      </c>
      <c r="C29" s="10"/>
      <c r="D29" s="7">
        <f t="shared" si="3"/>
        <v>1449280104.125</v>
      </c>
      <c r="E29" s="10"/>
      <c r="F29" s="7">
        <f t="shared" si="3"/>
        <v>1603790698.8450003</v>
      </c>
      <c r="G29" s="10"/>
      <c r="H29" s="7">
        <f t="shared" ref="H29" si="8">H19*H9</f>
        <v>1774672616.6396005</v>
      </c>
      <c r="I29" s="10"/>
      <c r="J29" s="7">
        <f t="shared" ref="J29" si="9">J19*J9</f>
        <v>1974937423.8838277</v>
      </c>
      <c r="K29" s="10"/>
      <c r="L29" s="7">
        <f t="shared" ref="L29" si="10">L19*L9</f>
        <v>2180136769.1993303</v>
      </c>
      <c r="M29" s="10"/>
      <c r="N29" s="7">
        <f t="shared" si="2"/>
        <v>8982817612.6927605</v>
      </c>
      <c r="O29" s="9"/>
      <c r="P29" s="25"/>
    </row>
    <row r="30" spans="1:28" x14ac:dyDescent="0.2">
      <c r="B30" s="2" t="s">
        <v>15</v>
      </c>
      <c r="C30" s="10"/>
      <c r="D30" s="7">
        <f t="shared" si="3"/>
        <v>830631.00000000012</v>
      </c>
      <c r="E30" s="10"/>
      <c r="F30" s="7">
        <f t="shared" si="3"/>
        <v>1008110.0000000001</v>
      </c>
      <c r="G30" s="10"/>
      <c r="H30" s="7">
        <f t="shared" ref="H30" si="11">H20*H10</f>
        <v>190026</v>
      </c>
      <c r="I30" s="10"/>
      <c r="J30" s="7">
        <f>J45</f>
        <v>0</v>
      </c>
      <c r="K30" s="10"/>
      <c r="L30" s="7">
        <f t="shared" ref="L30" si="12">L20*L10</f>
        <v>0</v>
      </c>
      <c r="M30" s="10"/>
      <c r="N30" s="7">
        <f t="shared" si="2"/>
        <v>2028767.0000000002</v>
      </c>
      <c r="O30" s="9"/>
      <c r="P30" s="25"/>
    </row>
    <row r="31" spans="1:28" x14ac:dyDescent="0.2">
      <c r="B31" s="11" t="s">
        <v>16</v>
      </c>
      <c r="C31" s="10"/>
      <c r="D31" s="12">
        <f t="shared" si="3"/>
        <v>0</v>
      </c>
      <c r="E31" s="10"/>
      <c r="F31" s="12">
        <f t="shared" si="3"/>
        <v>0</v>
      </c>
      <c r="G31" s="10"/>
      <c r="H31" s="12">
        <f t="shared" ref="H31" si="13">H21*H11</f>
        <v>1137188645</v>
      </c>
      <c r="I31" s="10"/>
      <c r="J31" s="12">
        <f t="shared" ref="J31" si="14">J21*J11</f>
        <v>1945504765.0000002</v>
      </c>
      <c r="K31" s="10"/>
      <c r="L31" s="12">
        <f t="shared" ref="L31" si="15">L21*L11</f>
        <v>2145499317</v>
      </c>
      <c r="M31" s="7"/>
      <c r="N31" s="12">
        <f t="shared" si="2"/>
        <v>5228192727</v>
      </c>
      <c r="O31" s="9"/>
      <c r="P31" s="25"/>
    </row>
    <row r="32" spans="1:28" x14ac:dyDescent="0.2">
      <c r="B32" s="2" t="s">
        <v>8</v>
      </c>
      <c r="C32" s="7"/>
      <c r="D32" s="8">
        <f>SUM(D25:D31)</f>
        <v>12578324512.161081</v>
      </c>
      <c r="E32" s="7"/>
      <c r="F32" s="8">
        <f>SUM(F25:F31)</f>
        <v>12942531415.804817</v>
      </c>
      <c r="G32" s="7"/>
      <c r="H32" s="8">
        <f>SUM(H25:H31)</f>
        <v>14597539096.927877</v>
      </c>
      <c r="I32" s="7"/>
      <c r="J32" s="8">
        <f>SUM(J25:J31)</f>
        <v>16779226107.6094</v>
      </c>
      <c r="K32" s="7"/>
      <c r="L32" s="8">
        <f>SUM(L25:L31)</f>
        <v>18314485857.852226</v>
      </c>
      <c r="M32" s="7"/>
      <c r="N32" s="8">
        <f>SUM(N25:N31)</f>
        <v>75212106990.355408</v>
      </c>
      <c r="P32" s="25"/>
    </row>
    <row r="33" spans="1:22" x14ac:dyDescent="0.2">
      <c r="C33" s="7"/>
      <c r="E33" s="7"/>
      <c r="G33" s="7"/>
      <c r="I33" s="7"/>
      <c r="K33" s="7"/>
      <c r="M33" s="7"/>
      <c r="N33" s="7"/>
      <c r="P33" s="24"/>
    </row>
    <row r="34" spans="1:22" x14ac:dyDescent="0.2">
      <c r="A34" s="2" t="s">
        <v>21</v>
      </c>
      <c r="C34" s="7"/>
      <c r="D34" s="12">
        <f>'[1]VI. DSH Allocation'!$E$13/'[2]FMAP History'!$B$22</f>
        <v>154369962.85289747</v>
      </c>
      <c r="E34" s="10"/>
      <c r="F34" s="12">
        <f>'[1]VI. DSH Allocation'!$F$13/'[2]FMAP History'!$B$23</f>
        <v>161973765.22533494</v>
      </c>
      <c r="G34" s="10"/>
      <c r="H34" s="12">
        <f>'[1]VI. DSH Allocation'!$G$13/'[2]FMAP History'!$B$24</f>
        <v>160771261.34166294</v>
      </c>
      <c r="I34" s="10"/>
      <c r="J34" s="12">
        <f>'[1]VI. DSH Allocation'!$H$13/'[2]FMAP History'!$B$25</f>
        <v>160408856.26643297</v>
      </c>
      <c r="K34" s="10"/>
      <c r="L34" s="12">
        <f>'[1]VI. DSH Allocation'!$I$13/'[2]FMAP History'!$B$26</f>
        <v>159816237.66686013</v>
      </c>
      <c r="M34" s="7"/>
      <c r="N34" s="12">
        <f>D34+F34+H34+J34+L34</f>
        <v>797340083.3531884</v>
      </c>
      <c r="O34" s="9"/>
      <c r="P34" s="25"/>
    </row>
    <row r="35" spans="1:22" x14ac:dyDescent="0.2">
      <c r="C35" s="7"/>
      <c r="D35" s="10"/>
      <c r="E35" s="7"/>
      <c r="F35" s="10"/>
      <c r="G35" s="7"/>
      <c r="H35" s="10"/>
      <c r="I35" s="7"/>
      <c r="J35" s="10"/>
      <c r="K35" s="7"/>
      <c r="L35" s="10"/>
      <c r="M35" s="7"/>
      <c r="N35" s="10"/>
      <c r="O35" s="9"/>
      <c r="P35" s="25"/>
    </row>
    <row r="36" spans="1:22" x14ac:dyDescent="0.2">
      <c r="C36" s="7"/>
      <c r="E36" s="7"/>
      <c r="G36" s="7"/>
      <c r="I36" s="7"/>
      <c r="K36" s="7"/>
      <c r="M36" s="7"/>
      <c r="N36" s="7"/>
      <c r="P36" s="24"/>
    </row>
    <row r="37" spans="1:22" ht="13.5" thickBot="1" x14ac:dyDescent="0.25">
      <c r="A37" s="2" t="s">
        <v>22</v>
      </c>
      <c r="C37" s="7"/>
      <c r="D37" s="26">
        <f>D34+D32</f>
        <v>12732694475.013979</v>
      </c>
      <c r="E37" s="7"/>
      <c r="F37" s="26">
        <f>F34+F32</f>
        <v>13104505181.030151</v>
      </c>
      <c r="G37" s="7"/>
      <c r="H37" s="26">
        <f>H34+H32</f>
        <v>14758310358.269541</v>
      </c>
      <c r="I37" s="7"/>
      <c r="J37" s="26">
        <f>J34+J32</f>
        <v>16939634963.875834</v>
      </c>
      <c r="K37" s="7"/>
      <c r="L37" s="26">
        <f>L34+L32</f>
        <v>18474302095.519085</v>
      </c>
      <c r="M37" s="7"/>
      <c r="N37" s="27">
        <f>N34+N32</f>
        <v>76009447073.708603</v>
      </c>
      <c r="O37" s="9"/>
      <c r="P37" s="25"/>
    </row>
    <row r="38" spans="1:22" x14ac:dyDescent="0.2">
      <c r="D38" s="28"/>
      <c r="F38" s="28"/>
      <c r="H38" s="28"/>
      <c r="J38" s="28"/>
      <c r="L38" s="28"/>
      <c r="N38" s="8"/>
      <c r="P38" s="24"/>
    </row>
    <row r="39" spans="1:22" x14ac:dyDescent="0.2">
      <c r="A39" s="1" t="s">
        <v>23</v>
      </c>
      <c r="C39" s="7"/>
      <c r="D39" s="29"/>
      <c r="E39" s="7"/>
      <c r="F39" s="29"/>
      <c r="G39" s="7"/>
      <c r="H39" s="29"/>
      <c r="I39" s="7"/>
      <c r="J39" s="29"/>
      <c r="K39" s="7"/>
      <c r="L39" s="29"/>
      <c r="M39" s="7"/>
      <c r="N39" s="7"/>
      <c r="P39" s="24"/>
      <c r="S39" s="3"/>
      <c r="T39" s="3"/>
      <c r="U39" s="3"/>
    </row>
    <row r="40" spans="1:22" x14ac:dyDescent="0.2">
      <c r="B40" s="2" t="s">
        <v>10</v>
      </c>
      <c r="C40" s="7"/>
      <c r="D40" s="7">
        <f>'[1]IV. Schedule C as Adjusted'!$C$17</f>
        <v>3415708532</v>
      </c>
      <c r="E40" s="7"/>
      <c r="F40" s="7">
        <f>'[1]IV. Schedule C as Adjusted'!$D$17</f>
        <v>3582361477</v>
      </c>
      <c r="G40" s="7"/>
      <c r="H40" s="7">
        <f>'[1]IV. Schedule C as Adjusted'!$E$17</f>
        <v>3539898256</v>
      </c>
      <c r="I40" s="7"/>
      <c r="J40" s="7">
        <f>'[1]IV. Schedule C as Adjusted'!$F$17+'[1]IV. Schedule C as Adjusted'!$F$22</f>
        <v>3600524014</v>
      </c>
      <c r="K40" s="7"/>
      <c r="L40" s="7">
        <f>'[1]IV. Schedule C as Adjusted'!$G$17+'[1]IV. Schedule C as Adjusted'!$G$22</f>
        <v>3982347227</v>
      </c>
      <c r="M40" s="7"/>
      <c r="N40" s="7">
        <f t="shared" ref="N40:N45" si="16">SUM(D40:L40)</f>
        <v>18120839506</v>
      </c>
      <c r="P40" s="25"/>
      <c r="Q40" s="8"/>
      <c r="R40" s="30"/>
      <c r="S40" s="25"/>
      <c r="T40" s="8"/>
      <c r="U40" s="25"/>
      <c r="V40" s="8"/>
    </row>
    <row r="41" spans="1:22" x14ac:dyDescent="0.2">
      <c r="B41" s="2" t="s">
        <v>11</v>
      </c>
      <c r="C41" s="7"/>
      <c r="D41" s="7">
        <f>'[1]IV. Schedule C as Adjusted'!$C$25</f>
        <v>1349499952</v>
      </c>
      <c r="E41" s="7"/>
      <c r="F41" s="7">
        <f>'[1]IV. Schedule C as Adjusted'!$D$25</f>
        <v>1426826711</v>
      </c>
      <c r="G41" s="7"/>
      <c r="H41" s="7">
        <f>'[1]IV. Schedule C as Adjusted'!$E$25</f>
        <v>1545627761</v>
      </c>
      <c r="I41" s="7"/>
      <c r="J41" s="7">
        <f>'[1]IV. Schedule C as Adjusted'!$F$25</f>
        <v>1739284853</v>
      </c>
      <c r="K41" s="7"/>
      <c r="L41" s="7">
        <f>'[1]IV. Schedule C as Adjusted'!$G$25</f>
        <v>1848114631</v>
      </c>
      <c r="M41" s="7"/>
      <c r="N41" s="7">
        <f t="shared" si="16"/>
        <v>7909353908</v>
      </c>
      <c r="P41" s="25"/>
      <c r="Q41" s="8"/>
    </row>
    <row r="42" spans="1:22" x14ac:dyDescent="0.2">
      <c r="B42" s="11" t="s">
        <v>12</v>
      </c>
      <c r="C42" s="7"/>
      <c r="D42" s="7">
        <f>'[1]IV. Schedule C as Adjusted'!$C$16+'[1]IV. Schedule C as Adjusted'!$C$23</f>
        <v>918520667</v>
      </c>
      <c r="E42" s="7"/>
      <c r="F42" s="7">
        <f>'[1]IV. Schedule C as Adjusted'!$D$16+'[1]IV. Schedule C as Adjusted'!$D$23</f>
        <v>582023481</v>
      </c>
      <c r="G42" s="7"/>
      <c r="H42" s="7">
        <f>'[1]IV. Schedule C as Adjusted'!$E$16+'[1]IV. Schedule C as Adjusted'!$E$23</f>
        <v>123922054</v>
      </c>
      <c r="I42" s="7"/>
      <c r="J42" s="7">
        <f>'[1]IV. Schedule C as Adjusted'!$F$16+'[1]IV. Schedule C as Adjusted'!$F$23</f>
        <v>36049882</v>
      </c>
      <c r="K42" s="7"/>
      <c r="L42" s="7">
        <f>'[1]IV. Schedule C as Adjusted'!$G$16+'[1]IV. Schedule C as Adjusted'!$G$23</f>
        <v>48139177</v>
      </c>
      <c r="M42" s="10"/>
      <c r="N42" s="7">
        <f t="shared" si="16"/>
        <v>1708655261</v>
      </c>
      <c r="O42" s="8"/>
      <c r="P42" s="25"/>
      <c r="Q42" s="8"/>
    </row>
    <row r="43" spans="1:22" x14ac:dyDescent="0.2">
      <c r="B43" s="2" t="s">
        <v>13</v>
      </c>
      <c r="C43" s="7"/>
      <c r="D43" s="7">
        <f>'[1]IV. Schedule C as Adjusted'!$C$18</f>
        <v>1061603724</v>
      </c>
      <c r="E43" s="7"/>
      <c r="F43" s="7">
        <f>'[1]IV. Schedule C as Adjusted'!$D$18</f>
        <v>1166651266</v>
      </c>
      <c r="G43" s="7"/>
      <c r="H43" s="7">
        <f>'[1]IV. Schedule C as Adjusted'!$E$18</f>
        <v>1195332840</v>
      </c>
      <c r="I43" s="7"/>
      <c r="J43" s="7">
        <f>'[1]IV. Schedule C as Adjusted'!$F$18</f>
        <v>1243620369</v>
      </c>
      <c r="K43" s="7"/>
      <c r="L43" s="7">
        <f>'[1]IV. Schedule C as Adjusted'!$G$18</f>
        <v>1262822459</v>
      </c>
      <c r="M43" s="10"/>
      <c r="N43" s="7">
        <f t="shared" si="16"/>
        <v>5930030658</v>
      </c>
      <c r="O43" s="8"/>
      <c r="P43" s="25"/>
      <c r="Q43" s="8"/>
      <c r="R43" s="8"/>
    </row>
    <row r="44" spans="1:22" x14ac:dyDescent="0.2">
      <c r="B44" s="2" t="s">
        <v>14</v>
      </c>
      <c r="C44" s="7"/>
      <c r="D44" s="7">
        <f>'[1]IV. Schedule C as Adjusted'!$C$19</f>
        <v>939086691</v>
      </c>
      <c r="E44" s="7"/>
      <c r="F44" s="7">
        <f>'[1]IV. Schedule C as Adjusted'!$D$19</f>
        <v>1005552496</v>
      </c>
      <c r="G44" s="7"/>
      <c r="H44" s="7">
        <f>'[1]IV. Schedule C as Adjusted'!$E$19</f>
        <v>1067544797</v>
      </c>
      <c r="I44" s="7"/>
      <c r="J44" s="7">
        <f>'[1]IV. Schedule C as Adjusted'!$F$19</f>
        <v>1170346154</v>
      </c>
      <c r="K44" s="7"/>
      <c r="L44" s="7">
        <f>'[1]IV. Schedule C as Adjusted'!$G$19</f>
        <v>1252959914</v>
      </c>
      <c r="M44" s="7"/>
      <c r="N44" s="7">
        <f t="shared" si="16"/>
        <v>5435490052</v>
      </c>
      <c r="O44" s="8"/>
      <c r="P44" s="25"/>
      <c r="Q44" s="8"/>
      <c r="R44" s="8"/>
    </row>
    <row r="45" spans="1:22" x14ac:dyDescent="0.2">
      <c r="B45" s="2" t="s">
        <v>15</v>
      </c>
      <c r="C45" s="7"/>
      <c r="D45" s="7">
        <f>'[1]IV. Schedule C as Adjusted'!$C$22</f>
        <v>830631</v>
      </c>
      <c r="E45" s="7"/>
      <c r="F45" s="7">
        <f>'[1]IV. Schedule C as Adjusted'!$D$22</f>
        <v>1008110</v>
      </c>
      <c r="G45" s="7"/>
      <c r="H45" s="7">
        <f>'[1]IV. Schedule C as Adjusted'!$E$22</f>
        <v>190026</v>
      </c>
      <c r="I45" s="7"/>
      <c r="J45" s="7">
        <v>0</v>
      </c>
      <c r="K45" s="7"/>
      <c r="L45" s="7">
        <v>0</v>
      </c>
      <c r="M45" s="10"/>
      <c r="N45" s="10">
        <f t="shared" si="16"/>
        <v>2028767</v>
      </c>
      <c r="O45" s="8"/>
      <c r="P45" s="25"/>
      <c r="Q45" s="25"/>
      <c r="R45" s="25"/>
    </row>
    <row r="46" spans="1:22" x14ac:dyDescent="0.2">
      <c r="B46" s="11" t="s">
        <v>16</v>
      </c>
      <c r="C46" s="7"/>
      <c r="D46" s="7">
        <f>'[1]IV. Schedule C as Adjusted'!$C$21</f>
        <v>0</v>
      </c>
      <c r="E46" s="7"/>
      <c r="F46" s="7">
        <f>'[1]IV. Schedule C as Adjusted'!$D$21</f>
        <v>0</v>
      </c>
      <c r="G46" s="7"/>
      <c r="H46" s="7">
        <f>'[1]IV. Schedule C as Adjusted'!$E$21</f>
        <v>1137188645</v>
      </c>
      <c r="I46" s="7"/>
      <c r="J46" s="7">
        <f>'[1]IV. Schedule C as Adjusted'!$F$21+'[1]IV. Schedule C as Adjusted'!$F$16+'[1]IV. Schedule C as Adjusted'!$F$23</f>
        <v>1945504765</v>
      </c>
      <c r="K46" s="7"/>
      <c r="L46" s="7">
        <f>'[1]IV. Schedule C as Adjusted'!$G$21+'[1]IV. Schedule C as Adjusted'!$G$16+'[1]IV. Schedule C as Adjusted'!$G$23</f>
        <v>2145499317</v>
      </c>
      <c r="M46" s="10"/>
      <c r="N46" s="10">
        <f t="shared" ref="N46:N48" si="17">SUM(D46:L46)</f>
        <v>5228192727</v>
      </c>
      <c r="O46" s="8"/>
      <c r="P46" s="25"/>
      <c r="Q46" s="25"/>
      <c r="R46" s="25"/>
    </row>
    <row r="47" spans="1:22" x14ac:dyDescent="0.2">
      <c r="B47" s="11" t="s">
        <v>24</v>
      </c>
      <c r="C47" s="7"/>
      <c r="D47" s="7">
        <f>'[1]IV. Schedule C as Adjusted'!$C$28</f>
        <v>22866717</v>
      </c>
      <c r="E47" s="10"/>
      <c r="F47" s="7">
        <f>'[1]IV. Schedule C as Adjusted'!$D$28</f>
        <v>97192513</v>
      </c>
      <c r="G47" s="10"/>
      <c r="H47" s="7">
        <f>'[1]IV. Schedule C as Adjusted'!$E$28</f>
        <v>53888765</v>
      </c>
      <c r="I47" s="10"/>
      <c r="J47" s="7">
        <f>'[1]IV. Schedule C as Adjusted'!$F$28</f>
        <v>13437080</v>
      </c>
      <c r="K47" s="10"/>
      <c r="L47" s="7">
        <f>'[1]IV. Schedule C as Adjusted'!$G$28</f>
        <v>7647155</v>
      </c>
      <c r="M47" s="10"/>
      <c r="N47" s="10">
        <f t="shared" si="17"/>
        <v>195032230</v>
      </c>
      <c r="O47" s="8"/>
      <c r="P47" s="25"/>
      <c r="Q47" s="25"/>
      <c r="R47" s="25"/>
    </row>
    <row r="48" spans="1:22" x14ac:dyDescent="0.2">
      <c r="B48" s="41" t="s">
        <v>25</v>
      </c>
      <c r="C48" s="7"/>
      <c r="D48" s="12">
        <f>'[1]IV. Schedule C as Adjusted'!$C$24</f>
        <v>296636120</v>
      </c>
      <c r="E48" s="10"/>
      <c r="F48" s="12">
        <f>'[1]IV. Schedule C as Adjusted'!$D$24</f>
        <v>558334298</v>
      </c>
      <c r="G48" s="10"/>
      <c r="H48" s="12">
        <f>'[1]IV. Schedule C as Adjusted'!$E$24</f>
        <v>240250917</v>
      </c>
      <c r="I48" s="10"/>
      <c r="J48" s="12">
        <f>'[1]IV. Schedule C as Adjusted'!$F$24</f>
        <v>135561857</v>
      </c>
      <c r="K48" s="10"/>
      <c r="L48" s="12">
        <f>'[1]IV. Schedule C as Adjusted'!$G$24</f>
        <v>116750000</v>
      </c>
      <c r="M48" s="10"/>
      <c r="N48" s="12">
        <f t="shared" si="17"/>
        <v>1347533192</v>
      </c>
      <c r="O48" s="8"/>
      <c r="P48" s="25"/>
      <c r="Q48" s="25"/>
      <c r="R48" s="25"/>
    </row>
    <row r="49" spans="1:18" x14ac:dyDescent="0.2">
      <c r="B49" s="2" t="s">
        <v>26</v>
      </c>
      <c r="C49" s="7"/>
      <c r="D49" s="7">
        <f>SUM(D40:D48)</f>
        <v>8004753034</v>
      </c>
      <c r="E49" s="7"/>
      <c r="F49" s="7">
        <f>SUM(F40:F48)</f>
        <v>8419950352</v>
      </c>
      <c r="G49" s="7"/>
      <c r="H49" s="7">
        <f>SUM(H40:H48)</f>
        <v>8903844061</v>
      </c>
      <c r="I49" s="7"/>
      <c r="J49" s="7">
        <f>SUM(J40:J48)</f>
        <v>9884328974</v>
      </c>
      <c r="K49" s="7"/>
      <c r="L49" s="7">
        <f>SUM(L40:L48)</f>
        <v>10664279880</v>
      </c>
      <c r="M49" s="7"/>
      <c r="N49" s="7">
        <f>SUM(N40:N48)</f>
        <v>45877156301</v>
      </c>
      <c r="O49" s="8"/>
      <c r="P49" s="25"/>
      <c r="Q49" s="8"/>
      <c r="R49" s="8"/>
    </row>
    <row r="50" spans="1:18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8"/>
      <c r="P50" s="31"/>
    </row>
    <row r="51" spans="1:18" x14ac:dyDescent="0.2">
      <c r="B51" s="2" t="s">
        <v>27</v>
      </c>
      <c r="C51" s="7"/>
      <c r="D51" s="12">
        <f>'[1]IV. Schedule C as Adjusted'!$C$20</f>
        <v>155762651</v>
      </c>
      <c r="E51" s="7"/>
      <c r="F51" s="12">
        <f>'[1]IV. Schedule C as Adjusted'!$D$20</f>
        <v>163280200</v>
      </c>
      <c r="G51" s="7"/>
      <c r="H51" s="12">
        <f>'[1]IV. Schedule C as Adjusted'!$E$20</f>
        <v>162283023</v>
      </c>
      <c r="I51" s="7"/>
      <c r="J51" s="12">
        <f>'[1]IV. Schedule C as Adjusted'!$F$20</f>
        <v>152801559</v>
      </c>
      <c r="K51" s="7"/>
      <c r="L51" s="12">
        <f>'[1]IV. Schedule C as Adjusted'!$G$20</f>
        <v>170272775</v>
      </c>
      <c r="M51" s="7"/>
      <c r="N51" s="12">
        <f>SUM(D51:L51)</f>
        <v>804400208</v>
      </c>
      <c r="P51" s="32"/>
    </row>
    <row r="52" spans="1:18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P52" s="31"/>
    </row>
    <row r="53" spans="1:18" ht="13.5" thickBot="1" x14ac:dyDescent="0.25">
      <c r="A53" s="2" t="s">
        <v>28</v>
      </c>
      <c r="C53" s="7"/>
      <c r="D53" s="27">
        <f>D51+D49</f>
        <v>8160515685</v>
      </c>
      <c r="E53" s="7"/>
      <c r="F53" s="27">
        <f>F51+F49</f>
        <v>8583230552</v>
      </c>
      <c r="G53" s="7"/>
      <c r="H53" s="27">
        <f>H51+H49</f>
        <v>9066127084</v>
      </c>
      <c r="I53" s="7"/>
      <c r="J53" s="27">
        <f>J51+J49</f>
        <v>10037130533</v>
      </c>
      <c r="K53" s="7"/>
      <c r="L53" s="27">
        <f>L51+L49</f>
        <v>10834552655</v>
      </c>
      <c r="M53" s="7"/>
      <c r="N53" s="27">
        <f>N51+N49</f>
        <v>46681556509</v>
      </c>
      <c r="P53" s="25"/>
    </row>
    <row r="54" spans="1:18" x14ac:dyDescent="0.2"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P54" s="24"/>
    </row>
    <row r="55" spans="1:18" x14ac:dyDescent="0.2">
      <c r="A55" s="2" t="s">
        <v>29</v>
      </c>
      <c r="C55" s="7"/>
      <c r="D55" s="20"/>
      <c r="E55" s="7"/>
      <c r="F55" s="20"/>
      <c r="G55" s="7"/>
      <c r="H55" s="20"/>
      <c r="I55" s="7"/>
      <c r="J55" s="20"/>
      <c r="K55" s="7"/>
      <c r="L55" s="20"/>
      <c r="M55" s="7"/>
      <c r="N55" s="10"/>
    </row>
    <row r="56" spans="1:18" x14ac:dyDescent="0.2">
      <c r="B56" s="2" t="s">
        <v>10</v>
      </c>
      <c r="C56" s="7"/>
      <c r="D56" s="23">
        <f t="shared" ref="D56:D61" si="18">ROUND((D40/D5),2)</f>
        <v>291.83</v>
      </c>
      <c r="E56" s="7"/>
      <c r="F56" s="23">
        <f t="shared" ref="F56:F61" si="19">ROUND((F40/F5),2)</f>
        <v>308.22000000000003</v>
      </c>
      <c r="G56" s="7"/>
      <c r="H56" s="23">
        <f t="shared" ref="H56:H62" si="20">ROUND((H40/H5),2)</f>
        <v>300.05</v>
      </c>
      <c r="I56" s="7"/>
      <c r="J56" s="23">
        <f>ROUND((J40/J5),2)</f>
        <v>287.17</v>
      </c>
      <c r="K56" s="7"/>
      <c r="L56" s="23">
        <f>ROUND((L40/L5),2)</f>
        <v>304.27999999999997</v>
      </c>
      <c r="M56" s="7"/>
      <c r="N56" s="23"/>
      <c r="O56" s="13"/>
    </row>
    <row r="57" spans="1:18" x14ac:dyDescent="0.2">
      <c r="B57" s="2" t="s">
        <v>11</v>
      </c>
      <c r="C57" s="7"/>
      <c r="D57" s="23">
        <f t="shared" si="18"/>
        <v>689.42</v>
      </c>
      <c r="E57" s="7"/>
      <c r="F57" s="23">
        <f t="shared" si="19"/>
        <v>715.03</v>
      </c>
      <c r="G57" s="7"/>
      <c r="H57" s="23">
        <f t="shared" si="20"/>
        <v>744.68</v>
      </c>
      <c r="I57" s="7"/>
      <c r="J57" s="23">
        <f>ROUND((J41/J6),2)</f>
        <v>799.69</v>
      </c>
      <c r="K57" s="7"/>
      <c r="L57" s="23">
        <f>ROUND((L41/L6),2)</f>
        <v>834.68</v>
      </c>
      <c r="M57" s="7"/>
      <c r="N57" s="23"/>
      <c r="O57" s="13"/>
    </row>
    <row r="58" spans="1:18" x14ac:dyDescent="0.2">
      <c r="B58" s="11" t="s">
        <v>12</v>
      </c>
      <c r="C58" s="7"/>
      <c r="D58" s="23">
        <f t="shared" si="18"/>
        <v>562.29999999999995</v>
      </c>
      <c r="E58" s="7"/>
      <c r="F58" s="23">
        <f t="shared" si="19"/>
        <v>600.57000000000005</v>
      </c>
      <c r="G58" s="7"/>
      <c r="H58" s="23">
        <f t="shared" si="20"/>
        <v>600.08000000000004</v>
      </c>
      <c r="I58" s="7"/>
      <c r="J58" s="23">
        <v>0</v>
      </c>
      <c r="K58" s="7"/>
      <c r="L58" s="23">
        <v>0</v>
      </c>
      <c r="M58" s="7"/>
      <c r="N58" s="23"/>
      <c r="O58" s="13"/>
      <c r="P58" s="7"/>
    </row>
    <row r="59" spans="1:18" x14ac:dyDescent="0.2">
      <c r="B59" s="2" t="s">
        <v>13</v>
      </c>
      <c r="C59" s="7"/>
      <c r="D59" s="23">
        <f t="shared" si="18"/>
        <v>3092.52</v>
      </c>
      <c r="E59" s="7"/>
      <c r="F59" s="23">
        <f t="shared" si="19"/>
        <v>3367.66</v>
      </c>
      <c r="G59" s="7"/>
      <c r="H59" s="23">
        <f t="shared" si="20"/>
        <v>3378.57</v>
      </c>
      <c r="I59" s="7"/>
      <c r="J59" s="23">
        <f>ROUND((J43/J8),2)</f>
        <v>3454.51</v>
      </c>
      <c r="K59" s="7"/>
      <c r="L59" s="23">
        <f>ROUND((L43/L8),2)</f>
        <v>3516.53</v>
      </c>
      <c r="M59" s="7"/>
      <c r="N59" s="23"/>
      <c r="O59" s="13"/>
      <c r="P59" s="7"/>
    </row>
    <row r="60" spans="1:18" x14ac:dyDescent="0.2">
      <c r="B60" s="2" t="s">
        <v>14</v>
      </c>
      <c r="C60" s="7"/>
      <c r="D60" s="23">
        <f t="shared" si="18"/>
        <v>3189.54</v>
      </c>
      <c r="E60" s="7"/>
      <c r="F60" s="23">
        <f t="shared" si="19"/>
        <v>3271.43</v>
      </c>
      <c r="G60" s="7"/>
      <c r="H60" s="23">
        <f t="shared" si="20"/>
        <v>3327.01</v>
      </c>
      <c r="I60" s="7"/>
      <c r="J60" s="23">
        <f>ROUND((J44/J9),2)</f>
        <v>3474.19</v>
      </c>
      <c r="K60" s="7"/>
      <c r="L60" s="23">
        <f>ROUND((L44/L9),2)</f>
        <v>3571.51</v>
      </c>
      <c r="M60" s="7"/>
      <c r="N60" s="23"/>
      <c r="O60" s="13"/>
      <c r="P60" s="7"/>
    </row>
    <row r="61" spans="1:18" x14ac:dyDescent="0.2">
      <c r="B61" s="2" t="s">
        <v>15</v>
      </c>
      <c r="C61" s="7"/>
      <c r="D61" s="23">
        <f t="shared" si="18"/>
        <v>16.600000000000001</v>
      </c>
      <c r="E61" s="7"/>
      <c r="F61" s="23">
        <f t="shared" si="19"/>
        <v>18.010000000000002</v>
      </c>
      <c r="G61" s="7"/>
      <c r="H61" s="23">
        <f t="shared" si="20"/>
        <v>12.77</v>
      </c>
      <c r="I61" s="7"/>
      <c r="J61" s="23">
        <v>0</v>
      </c>
      <c r="K61" s="7"/>
      <c r="L61" s="23">
        <v>0</v>
      </c>
      <c r="M61" s="7"/>
      <c r="N61" s="23"/>
      <c r="O61" s="13"/>
      <c r="P61" s="7"/>
    </row>
    <row r="62" spans="1:18" x14ac:dyDescent="0.2">
      <c r="B62" s="11" t="s">
        <v>16</v>
      </c>
      <c r="C62" s="7"/>
      <c r="D62" s="23">
        <v>0</v>
      </c>
      <c r="E62" s="7"/>
      <c r="F62" s="23">
        <v>0</v>
      </c>
      <c r="G62" s="7"/>
      <c r="H62" s="23">
        <f t="shared" si="20"/>
        <v>623.83000000000004</v>
      </c>
      <c r="I62" s="7"/>
      <c r="J62" s="23">
        <f>ROUND((J46/J11),2)</f>
        <v>579.09</v>
      </c>
      <c r="K62" s="7"/>
      <c r="L62" s="23">
        <f>ROUND((L46/L11),2)</f>
        <v>579.03</v>
      </c>
      <c r="M62" s="7"/>
      <c r="N62" s="23"/>
      <c r="O62" s="13"/>
      <c r="P62" s="7"/>
    </row>
    <row r="63" spans="1:18" x14ac:dyDescent="0.2">
      <c r="C63" s="7"/>
      <c r="D63" s="17"/>
      <c r="E63" s="17"/>
      <c r="F63" s="17"/>
      <c r="G63" s="10"/>
      <c r="H63" s="17"/>
      <c r="I63" s="10"/>
      <c r="J63" s="17"/>
      <c r="K63" s="10"/>
      <c r="L63" s="17"/>
      <c r="M63" s="7"/>
      <c r="N63" s="23"/>
      <c r="O63" s="13"/>
      <c r="P63" s="7"/>
    </row>
    <row r="64" spans="1:18" x14ac:dyDescent="0.2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P64" s="7"/>
    </row>
    <row r="65" spans="1:17" x14ac:dyDescent="0.2">
      <c r="A65" s="1" t="s">
        <v>30</v>
      </c>
      <c r="C65" s="7"/>
      <c r="D65" s="7">
        <f>D37-D53</f>
        <v>4572178790.013979</v>
      </c>
      <c r="E65" s="7"/>
      <c r="F65" s="7">
        <f>F37-F53</f>
        <v>4521274629.0301514</v>
      </c>
      <c r="G65" s="7"/>
      <c r="H65" s="7">
        <f>H37-H53</f>
        <v>5692183274.2695408</v>
      </c>
      <c r="I65" s="7"/>
      <c r="J65" s="7">
        <f>J37-J53</f>
        <v>6902504430.8758335</v>
      </c>
      <c r="K65" s="7"/>
      <c r="L65" s="7">
        <f>L37-L53</f>
        <v>7639749440.5190849</v>
      </c>
      <c r="M65" s="7"/>
      <c r="N65" s="33">
        <f>N37-N53</f>
        <v>29327890564.708603</v>
      </c>
      <c r="O65" s="33"/>
      <c r="P65" s="29"/>
      <c r="Q65" s="34"/>
    </row>
    <row r="66" spans="1:17" x14ac:dyDescent="0.2">
      <c r="A66" s="1" t="s">
        <v>31</v>
      </c>
      <c r="C66" s="7"/>
      <c r="D66" s="8">
        <f>D65</f>
        <v>4572178790.013979</v>
      </c>
      <c r="E66" s="7"/>
      <c r="F66" s="8">
        <f>F65+D66</f>
        <v>9093453419.0441303</v>
      </c>
      <c r="G66" s="7"/>
      <c r="H66" s="8">
        <f>H65+F66</f>
        <v>14785636693.313671</v>
      </c>
      <c r="I66" s="7"/>
      <c r="J66" s="8">
        <f>J65+H66</f>
        <v>21688141124.189507</v>
      </c>
      <c r="K66" s="7"/>
      <c r="L66" s="8">
        <f>L65+J66</f>
        <v>29327890564.708591</v>
      </c>
      <c r="M66" s="7"/>
      <c r="N66" s="35"/>
      <c r="O66" s="8"/>
      <c r="P66" s="7"/>
      <c r="Q66" s="8"/>
    </row>
    <row r="67" spans="1:17" x14ac:dyDescent="0.2">
      <c r="A67" s="1"/>
      <c r="C67" s="7"/>
      <c r="D67" s="8"/>
      <c r="E67" s="7"/>
      <c r="F67" s="8"/>
      <c r="G67" s="7"/>
      <c r="H67" s="8"/>
      <c r="I67" s="7"/>
      <c r="J67" s="8"/>
      <c r="K67" s="7"/>
      <c r="L67" s="8"/>
      <c r="M67" s="7"/>
      <c r="N67" s="8"/>
      <c r="O67" s="8"/>
      <c r="P67" s="7"/>
    </row>
    <row r="68" spans="1:17" x14ac:dyDescent="0.2">
      <c r="A68" s="11" t="s">
        <v>32</v>
      </c>
      <c r="C68" s="7"/>
      <c r="D68" s="8"/>
      <c r="E68" s="7"/>
      <c r="F68" s="8"/>
      <c r="G68" s="7"/>
      <c r="H68" s="8"/>
      <c r="I68" s="7"/>
      <c r="J68" s="8"/>
      <c r="K68" s="7"/>
      <c r="L68" s="8"/>
      <c r="M68" s="7"/>
      <c r="N68" s="8"/>
      <c r="O68" s="8"/>
      <c r="P68" s="7"/>
    </row>
    <row r="69" spans="1:17" x14ac:dyDescent="0.2">
      <c r="A69" s="1"/>
      <c r="B69" s="2" t="s">
        <v>10</v>
      </c>
      <c r="C69" s="7"/>
      <c r="D69" s="7">
        <f t="shared" ref="D69:D75" si="21">D25-D40</f>
        <v>3434610861.1673613</v>
      </c>
      <c r="E69" s="7"/>
      <c r="F69" s="7">
        <f t="shared" ref="F69:F75" si="22">F25-F40</f>
        <v>3574035068.2611895</v>
      </c>
      <c r="G69" s="7"/>
      <c r="H69" s="7">
        <f t="shared" ref="H69:H75" si="23">H25-H40</f>
        <v>4101908113.5658789</v>
      </c>
      <c r="I69" s="7"/>
      <c r="J69" s="7">
        <f t="shared" ref="J69:J75" si="24">J25-J40</f>
        <v>4943070507.3401461</v>
      </c>
      <c r="K69" s="7"/>
      <c r="L69" s="7">
        <f t="shared" ref="L69:L75" si="25">L25-L40</f>
        <v>5399694694.3511505</v>
      </c>
      <c r="M69" s="7"/>
      <c r="N69" s="7">
        <f t="shared" ref="N69:N78" si="26">SUM(D69:M69)</f>
        <v>21453319244.685726</v>
      </c>
      <c r="O69" s="7"/>
      <c r="P69" s="7"/>
    </row>
    <row r="70" spans="1:17" x14ac:dyDescent="0.2">
      <c r="A70" s="1"/>
      <c r="B70" s="2" t="s">
        <v>11</v>
      </c>
      <c r="C70" s="7"/>
      <c r="D70" s="7">
        <f t="shared" si="21"/>
        <v>383625711.20420003</v>
      </c>
      <c r="E70" s="7"/>
      <c r="F70" s="7">
        <f t="shared" si="22"/>
        <v>445989181.8740561</v>
      </c>
      <c r="G70" s="7"/>
      <c r="H70" s="7">
        <f t="shared" si="23"/>
        <v>519217209.41178846</v>
      </c>
      <c r="I70" s="7"/>
      <c r="J70" s="7">
        <f t="shared" si="24"/>
        <v>554283132.87856388</v>
      </c>
      <c r="K70" s="7"/>
      <c r="L70" s="7">
        <f t="shared" si="25"/>
        <v>626891035.61786079</v>
      </c>
      <c r="M70" s="7"/>
      <c r="N70" s="7">
        <f t="shared" si="26"/>
        <v>2530006270.9864693</v>
      </c>
      <c r="O70" s="7"/>
      <c r="P70" s="7"/>
    </row>
    <row r="71" spans="1:17" x14ac:dyDescent="0.2">
      <c r="A71" s="1"/>
      <c r="B71" s="11" t="s">
        <v>12</v>
      </c>
      <c r="C71" s="7"/>
      <c r="D71" s="7">
        <f t="shared" si="21"/>
        <v>0</v>
      </c>
      <c r="E71" s="7"/>
      <c r="F71" s="7">
        <f t="shared" si="22"/>
        <v>0</v>
      </c>
      <c r="G71" s="7"/>
      <c r="H71" s="7">
        <f t="shared" si="23"/>
        <v>0</v>
      </c>
      <c r="I71" s="7"/>
      <c r="J71" s="7">
        <f t="shared" si="24"/>
        <v>0</v>
      </c>
      <c r="K71" s="7"/>
      <c r="L71" s="7">
        <f t="shared" si="25"/>
        <v>0</v>
      </c>
      <c r="M71" s="10"/>
      <c r="N71" s="7">
        <f t="shared" si="26"/>
        <v>0</v>
      </c>
      <c r="O71" s="7"/>
      <c r="P71" s="7"/>
    </row>
    <row r="72" spans="1:17" x14ac:dyDescent="0.2">
      <c r="A72" s="1"/>
      <c r="B72" s="2" t="s">
        <v>13</v>
      </c>
      <c r="C72" s="7"/>
      <c r="D72" s="7">
        <f t="shared" si="21"/>
        <v>564644329.66452003</v>
      </c>
      <c r="E72" s="7"/>
      <c r="F72" s="7">
        <f t="shared" si="22"/>
        <v>559845421.82457185</v>
      </c>
      <c r="G72" s="7"/>
      <c r="H72" s="7">
        <f t="shared" si="23"/>
        <v>659581575.3106091</v>
      </c>
      <c r="I72" s="7"/>
      <c r="J72" s="7">
        <f t="shared" si="24"/>
        <v>741951160.50686288</v>
      </c>
      <c r="K72" s="7"/>
      <c r="L72" s="7">
        <f t="shared" si="25"/>
        <v>820840547.68388653</v>
      </c>
      <c r="M72" s="10"/>
      <c r="N72" s="7">
        <f t="shared" si="26"/>
        <v>3346863034.9904504</v>
      </c>
      <c r="O72" s="7"/>
      <c r="P72" s="7"/>
    </row>
    <row r="73" spans="1:17" x14ac:dyDescent="0.2">
      <c r="A73" s="1"/>
      <c r="B73" s="2" t="s">
        <v>14</v>
      </c>
      <c r="C73" s="7"/>
      <c r="D73" s="7">
        <f t="shared" si="21"/>
        <v>510193413.125</v>
      </c>
      <c r="E73" s="7"/>
      <c r="F73" s="7">
        <f t="shared" si="22"/>
        <v>598238202.84500027</v>
      </c>
      <c r="G73" s="7"/>
      <c r="H73" s="7">
        <f t="shared" si="23"/>
        <v>707127819.63960052</v>
      </c>
      <c r="I73" s="7"/>
      <c r="J73" s="7">
        <f t="shared" si="24"/>
        <v>804591269.88382769</v>
      </c>
      <c r="K73" s="7"/>
      <c r="L73" s="7">
        <f t="shared" si="25"/>
        <v>927176855.19933033</v>
      </c>
      <c r="M73" s="7"/>
      <c r="N73" s="7">
        <f t="shared" si="26"/>
        <v>3547327560.6927586</v>
      </c>
      <c r="O73" s="7"/>
      <c r="P73" s="7"/>
    </row>
    <row r="74" spans="1:17" x14ac:dyDescent="0.2">
      <c r="A74" s="1"/>
      <c r="B74" s="2" t="s">
        <v>15</v>
      </c>
      <c r="C74" s="7"/>
      <c r="D74" s="7">
        <f t="shared" si="21"/>
        <v>0</v>
      </c>
      <c r="E74" s="7"/>
      <c r="F74" s="7">
        <f t="shared" si="22"/>
        <v>0</v>
      </c>
      <c r="G74" s="7"/>
      <c r="H74" s="7">
        <f t="shared" si="23"/>
        <v>0</v>
      </c>
      <c r="I74" s="7"/>
      <c r="J74" s="7">
        <f t="shared" si="24"/>
        <v>0</v>
      </c>
      <c r="K74" s="7"/>
      <c r="L74" s="7">
        <f t="shared" si="25"/>
        <v>0</v>
      </c>
      <c r="M74" s="10"/>
      <c r="N74" s="10">
        <f t="shared" si="26"/>
        <v>0</v>
      </c>
      <c r="O74" s="7"/>
      <c r="P74" s="7"/>
    </row>
    <row r="75" spans="1:17" x14ac:dyDescent="0.2">
      <c r="A75" s="1"/>
      <c r="B75" s="11" t="s">
        <v>16</v>
      </c>
      <c r="C75" s="7"/>
      <c r="D75" s="7">
        <f t="shared" si="21"/>
        <v>0</v>
      </c>
      <c r="E75" s="7"/>
      <c r="F75" s="7">
        <f t="shared" si="22"/>
        <v>0</v>
      </c>
      <c r="G75" s="7"/>
      <c r="H75" s="7">
        <f t="shared" si="23"/>
        <v>0</v>
      </c>
      <c r="I75" s="7"/>
      <c r="J75" s="7">
        <f t="shared" si="24"/>
        <v>0</v>
      </c>
      <c r="K75" s="7"/>
      <c r="L75" s="7">
        <f t="shared" si="25"/>
        <v>0</v>
      </c>
      <c r="M75" s="10"/>
      <c r="N75" s="10">
        <f t="shared" si="26"/>
        <v>0</v>
      </c>
      <c r="O75" s="7"/>
      <c r="P75" s="7"/>
    </row>
    <row r="76" spans="1:17" x14ac:dyDescent="0.2">
      <c r="A76" s="1"/>
      <c r="B76" s="11" t="s">
        <v>27</v>
      </c>
      <c r="C76" s="7"/>
      <c r="D76" s="7">
        <f>D34-D51</f>
        <v>-1392688.1471025348</v>
      </c>
      <c r="E76" s="7"/>
      <c r="F76" s="7">
        <f>F34-F51</f>
        <v>-1306434.7746650577</v>
      </c>
      <c r="G76" s="7"/>
      <c r="H76" s="7">
        <f>H34-H51</f>
        <v>-1511761.6583370566</v>
      </c>
      <c r="I76" s="7"/>
      <c r="J76" s="7">
        <f>J34-J51</f>
        <v>7607297.2664329708</v>
      </c>
      <c r="K76" s="7"/>
      <c r="L76" s="7">
        <f>L34-L51</f>
        <v>-10456537.333139867</v>
      </c>
      <c r="M76" s="10"/>
      <c r="N76" s="10">
        <f t="shared" si="26"/>
        <v>-7060124.6468115449</v>
      </c>
      <c r="O76" s="7"/>
      <c r="P76" s="7"/>
    </row>
    <row r="77" spans="1:17" x14ac:dyDescent="0.2">
      <c r="A77" s="1"/>
      <c r="B77" s="11" t="s">
        <v>24</v>
      </c>
      <c r="C77" s="7"/>
      <c r="D77" s="7">
        <f t="shared" ref="D77:L77" si="27">-D47</f>
        <v>-22866717</v>
      </c>
      <c r="E77" s="10">
        <f t="shared" si="27"/>
        <v>0</v>
      </c>
      <c r="F77" s="7">
        <f t="shared" si="27"/>
        <v>-97192513</v>
      </c>
      <c r="G77" s="10">
        <f t="shared" si="27"/>
        <v>0</v>
      </c>
      <c r="H77" s="7">
        <f t="shared" si="27"/>
        <v>-53888765</v>
      </c>
      <c r="I77" s="10">
        <f t="shared" si="27"/>
        <v>0</v>
      </c>
      <c r="J77" s="7">
        <f t="shared" si="27"/>
        <v>-13437080</v>
      </c>
      <c r="K77" s="10">
        <f t="shared" si="27"/>
        <v>0</v>
      </c>
      <c r="L77" s="7">
        <f t="shared" si="27"/>
        <v>-7647155</v>
      </c>
      <c r="M77" s="10"/>
      <c r="N77" s="10">
        <f t="shared" si="26"/>
        <v>-195032230</v>
      </c>
      <c r="O77" s="7"/>
      <c r="P77" s="7"/>
    </row>
    <row r="78" spans="1:17" x14ac:dyDescent="0.2">
      <c r="A78" s="1"/>
      <c r="B78" s="11" t="s">
        <v>25</v>
      </c>
      <c r="C78" s="7"/>
      <c r="D78" s="12">
        <f t="shared" ref="D78:L78" si="28">-D48</f>
        <v>-296636120</v>
      </c>
      <c r="E78" s="10">
        <f t="shared" si="28"/>
        <v>0</v>
      </c>
      <c r="F78" s="12">
        <f t="shared" si="28"/>
        <v>-558334298</v>
      </c>
      <c r="G78" s="10">
        <f t="shared" si="28"/>
        <v>0</v>
      </c>
      <c r="H78" s="12">
        <f t="shared" si="28"/>
        <v>-240250917</v>
      </c>
      <c r="I78" s="10">
        <f t="shared" si="28"/>
        <v>0</v>
      </c>
      <c r="J78" s="12">
        <f t="shared" si="28"/>
        <v>-135561857</v>
      </c>
      <c r="K78" s="10">
        <f t="shared" si="28"/>
        <v>0</v>
      </c>
      <c r="L78" s="12">
        <f t="shared" si="28"/>
        <v>-116750000</v>
      </c>
      <c r="M78" s="10"/>
      <c r="N78" s="12">
        <f t="shared" si="26"/>
        <v>-1347533192</v>
      </c>
      <c r="O78" s="7"/>
      <c r="P78" s="7"/>
    </row>
    <row r="79" spans="1:17" x14ac:dyDescent="0.2">
      <c r="A79" s="1"/>
      <c r="C79" s="7"/>
      <c r="D79" s="7">
        <f>SUM(D69:D78)</f>
        <v>4572178790.013979</v>
      </c>
      <c r="E79" s="7"/>
      <c r="F79" s="7">
        <f>SUM(F69:F78)</f>
        <v>4521274629.0301523</v>
      </c>
      <c r="G79" s="7"/>
      <c r="H79" s="7">
        <f>SUM(H69:H78)</f>
        <v>5692183274.2695398</v>
      </c>
      <c r="I79" s="7"/>
      <c r="J79" s="7">
        <f>SUM(J69:J78)</f>
        <v>6902504430.8758326</v>
      </c>
      <c r="K79" s="7"/>
      <c r="L79" s="7">
        <f>SUM(L69:L78)</f>
        <v>7639749440.5190887</v>
      </c>
      <c r="M79" s="7"/>
      <c r="N79" s="7">
        <f>SUM(N69:N78)</f>
        <v>29327890564.708595</v>
      </c>
      <c r="O79" s="7"/>
      <c r="P79" s="7"/>
    </row>
    <row r="80" spans="1:17" x14ac:dyDescent="0.2">
      <c r="A80" s="11"/>
      <c r="C80" s="7"/>
      <c r="D80" s="8"/>
      <c r="E80" s="7"/>
      <c r="F80" s="8"/>
      <c r="G80" s="7"/>
      <c r="H80" s="8"/>
      <c r="I80" s="7"/>
      <c r="J80" s="8"/>
      <c r="K80" s="7"/>
      <c r="L80" s="8"/>
      <c r="M80" s="7"/>
      <c r="N80" s="8"/>
      <c r="P80" s="8"/>
    </row>
    <row r="81" spans="1:16" x14ac:dyDescent="0.2">
      <c r="A81" s="1"/>
      <c r="C81" s="36"/>
      <c r="D81" s="23">
        <f>SUM(D40:D46)/D12</f>
        <v>480.83866776800267</v>
      </c>
      <c r="E81" s="36"/>
      <c r="F81" s="23">
        <f>SUM(F40:F46)/F12</f>
        <v>507.5685322976467</v>
      </c>
      <c r="G81" s="36"/>
      <c r="H81" s="23">
        <f>SUM(H40:H46)/H12</f>
        <v>518.89667683180585</v>
      </c>
      <c r="I81" s="36"/>
      <c r="J81" s="23">
        <f>SUM(J40:J46)/J12</f>
        <v>518.67878462043541</v>
      </c>
      <c r="K81" s="36"/>
      <c r="L81" s="23">
        <f>SUM(L40:L46)/L12</f>
        <v>534.54791299065789</v>
      </c>
      <c r="M81" s="7"/>
      <c r="N81" s="36"/>
      <c r="P81" s="8"/>
    </row>
    <row r="82" spans="1:16" x14ac:dyDescent="0.2">
      <c r="A82" s="1"/>
      <c r="C82" s="36"/>
      <c r="D82" s="36"/>
      <c r="E82" s="36"/>
      <c r="F82" s="36">
        <f>F81/D81-1</f>
        <v>5.5590089403002807E-2</v>
      </c>
      <c r="G82" s="36"/>
      <c r="H82" s="36">
        <f>H81/F81-1</f>
        <v>2.2318453200554478E-2</v>
      </c>
      <c r="I82" s="36"/>
      <c r="J82" s="36">
        <f>J81/H81-1</f>
        <v>-4.1991444751743323E-4</v>
      </c>
      <c r="K82" s="36"/>
      <c r="L82" s="36">
        <f>L81/J81-1</f>
        <v>3.0595291037082584E-2</v>
      </c>
      <c r="M82" s="7"/>
      <c r="N82" s="36"/>
      <c r="P82" s="8"/>
    </row>
    <row r="83" spans="1:16" x14ac:dyDescent="0.2">
      <c r="A83" s="1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7"/>
      <c r="N83" s="36"/>
      <c r="P83" s="8"/>
    </row>
    <row r="84" spans="1:16" x14ac:dyDescent="0.2">
      <c r="A84" s="1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7"/>
      <c r="N84" s="36"/>
      <c r="P84" s="8"/>
    </row>
    <row r="85" spans="1:16" x14ac:dyDescent="0.2">
      <c r="A85" s="1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7"/>
      <c r="N85" s="36"/>
      <c r="P85" s="8"/>
    </row>
    <row r="86" spans="1:16" x14ac:dyDescent="0.2">
      <c r="D86" s="36"/>
      <c r="F86" s="36"/>
      <c r="H86" s="36"/>
      <c r="J86" s="36"/>
      <c r="L86" s="36"/>
      <c r="N86" s="36"/>
    </row>
    <row r="87" spans="1:16" x14ac:dyDescent="0.2">
      <c r="C87" s="37"/>
      <c r="D87" s="37"/>
      <c r="E87" s="37"/>
      <c r="F87" s="37"/>
      <c r="H87" s="37"/>
      <c r="J87" s="37"/>
      <c r="L87" s="37"/>
      <c r="N87" s="8"/>
    </row>
    <row r="88" spans="1:16" x14ac:dyDescent="0.2">
      <c r="C88" s="37"/>
      <c r="D88" s="37"/>
      <c r="E88" s="37"/>
      <c r="F88" s="37"/>
      <c r="H88" s="37"/>
      <c r="J88" s="37"/>
      <c r="L88" s="37"/>
    </row>
    <row r="89" spans="1:16" x14ac:dyDescent="0.2">
      <c r="C89" s="37"/>
      <c r="D89" s="37"/>
      <c r="E89" s="37"/>
      <c r="F89" s="37"/>
      <c r="H89" s="37"/>
      <c r="J89" s="37"/>
      <c r="L89" s="37"/>
    </row>
    <row r="90" spans="1:16" x14ac:dyDescent="0.2">
      <c r="C90" s="37"/>
      <c r="D90" s="37"/>
      <c r="E90" s="37"/>
      <c r="F90" s="37"/>
      <c r="H90" s="37"/>
      <c r="J90" s="37"/>
      <c r="L90" s="37"/>
    </row>
    <row r="91" spans="1:16" x14ac:dyDescent="0.2">
      <c r="C91" s="37"/>
      <c r="D91" s="37"/>
      <c r="E91" s="37"/>
      <c r="F91" s="37"/>
      <c r="H91" s="37"/>
      <c r="J91" s="37"/>
      <c r="L91" s="37"/>
    </row>
    <row r="94" spans="1:16" hidden="1" x14ac:dyDescent="0.2">
      <c r="A94" s="2" t="s">
        <v>33</v>
      </c>
      <c r="C94" s="7"/>
      <c r="D94" s="7" t="e">
        <f>#REF!</f>
        <v>#REF!</v>
      </c>
      <c r="E94" s="7"/>
      <c r="F94" s="7" t="e">
        <f>#REF!</f>
        <v>#REF!</v>
      </c>
      <c r="G94" s="7"/>
      <c r="H94" s="7" t="e">
        <f>#REF!+#REF!</f>
        <v>#REF!</v>
      </c>
      <c r="J94" s="7"/>
      <c r="L94" s="7"/>
      <c r="N94" s="8"/>
    </row>
    <row r="95" spans="1:16" x14ac:dyDescent="0.2">
      <c r="C95" s="13"/>
      <c r="D95" s="13"/>
      <c r="E95" s="13"/>
      <c r="F95" s="13"/>
      <c r="H95" s="13"/>
      <c r="J95" s="13"/>
      <c r="L95" s="13"/>
    </row>
    <row r="96" spans="1:16" x14ac:dyDescent="0.2">
      <c r="D96" s="7"/>
      <c r="F96" s="7"/>
      <c r="H96" s="7"/>
      <c r="J96" s="7"/>
      <c r="L96" s="7"/>
    </row>
    <row r="97" spans="1:12" hidden="1" x14ac:dyDescent="0.2">
      <c r="A97" s="2">
        <v>1</v>
      </c>
      <c r="D97" s="7"/>
      <c r="F97" s="7"/>
      <c r="H97" s="7"/>
      <c r="J97" s="7"/>
      <c r="L97" s="7"/>
    </row>
    <row r="101" spans="1:12" x14ac:dyDescent="0.2">
      <c r="D101" s="8"/>
      <c r="F101" s="8"/>
      <c r="H101" s="8"/>
      <c r="J101" s="8"/>
      <c r="L101" s="8"/>
    </row>
    <row r="102" spans="1:12" x14ac:dyDescent="0.2">
      <c r="D102" s="20"/>
      <c r="F102" s="20"/>
      <c r="H102" s="20"/>
      <c r="J102" s="20"/>
      <c r="L102" s="20"/>
    </row>
    <row r="103" spans="1:12" x14ac:dyDescent="0.2">
      <c r="D103" s="20"/>
      <c r="F103" s="20"/>
      <c r="H103" s="20"/>
      <c r="J103" s="20"/>
      <c r="L103" s="20"/>
    </row>
    <row r="104" spans="1:12" x14ac:dyDescent="0.2">
      <c r="D104" s="20"/>
      <c r="F104" s="20"/>
      <c r="H104" s="20"/>
      <c r="J104" s="20"/>
      <c r="L104" s="20"/>
    </row>
    <row r="105" spans="1:12" x14ac:dyDescent="0.2">
      <c r="D105" s="20"/>
      <c r="F105" s="20"/>
      <c r="H105" s="20"/>
      <c r="J105" s="20"/>
      <c r="L105" s="20"/>
    </row>
    <row r="115" spans="4:12" x14ac:dyDescent="0.2">
      <c r="D115" s="8"/>
      <c r="F115" s="8"/>
      <c r="H115" s="8"/>
      <c r="J115" s="8"/>
      <c r="L115" s="8"/>
    </row>
    <row r="116" spans="4:12" x14ac:dyDescent="0.2">
      <c r="D116" s="8"/>
      <c r="F116" s="8"/>
      <c r="H116" s="8"/>
      <c r="J116" s="8"/>
      <c r="L116" s="8"/>
    </row>
    <row r="117" spans="4:12" x14ac:dyDescent="0.2">
      <c r="D117" s="8"/>
      <c r="F117" s="8"/>
      <c r="H117" s="8"/>
      <c r="J117" s="8"/>
      <c r="L117" s="8"/>
    </row>
    <row r="118" spans="4:12" x14ac:dyDescent="0.2">
      <c r="D118" s="8"/>
      <c r="F118" s="8"/>
      <c r="H118" s="8"/>
      <c r="J118" s="8"/>
      <c r="L118" s="8"/>
    </row>
    <row r="119" spans="4:12" x14ac:dyDescent="0.2">
      <c r="D119" s="8"/>
      <c r="F119" s="8"/>
      <c r="H119" s="8"/>
      <c r="J119" s="8"/>
      <c r="L119" s="8"/>
    </row>
  </sheetData>
  <printOptions horizontalCentered="1"/>
  <pageMargins left="0.7" right="0.7" top="1.25" bottom="0.5" header="0.3" footer="0.3"/>
  <pageSetup scale="65" orientation="portrait" r:id="rId1"/>
  <headerFooter alignWithMargins="0">
    <oddHeader xml:space="preserve">&amp;C&amp;"Arial,Bold"Arizona Health Care Cost Containment System
Budget Neutrality Status by Federal Fiscal Year
Total Funds - All Populations
For the Period October 1, 2011 - September 30, 2016
Updated 10/19
</oddHeader>
    <oddFooter>&amp;L&amp;8 DBF  &amp;D    &amp;T&amp;R&amp;8S:\BUD\SHARE\FY21 Prog\Budget Neutrality\2012-2021 BN Update - October 2019.xlsx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18"/>
  <sheetViews>
    <sheetView zoomScale="85" zoomScaleNormal="85" workbookViewId="0">
      <selection activeCell="C16" sqref="C16"/>
    </sheetView>
  </sheetViews>
  <sheetFormatPr defaultColWidth="9.140625" defaultRowHeight="12.75" x14ac:dyDescent="0.2"/>
  <cols>
    <col min="1" max="1" width="3.42578125" style="2" customWidth="1"/>
    <col min="2" max="2" width="21.7109375" style="2" customWidth="1"/>
    <col min="3" max="3" width="15.140625" style="2" customWidth="1"/>
    <col min="4" max="4" width="16.5703125" style="2" bestFit="1" customWidth="1"/>
    <col min="5" max="5" width="0.85546875" style="2" customWidth="1"/>
    <col min="6" max="6" width="16.5703125" style="2" bestFit="1" customWidth="1"/>
    <col min="7" max="7" width="0.85546875" style="2" customWidth="1"/>
    <col min="8" max="8" width="16.5703125" style="2" bestFit="1" customWidth="1"/>
    <col min="9" max="9" width="0.85546875" style="2" customWidth="1"/>
    <col min="10" max="10" width="16.5703125" style="2" bestFit="1" customWidth="1"/>
    <col min="11" max="11" width="0.85546875" style="2" customWidth="1"/>
    <col min="12" max="12" width="18" style="2" bestFit="1" customWidth="1"/>
    <col min="13" max="13" width="0.85546875" style="2" customWidth="1"/>
    <col min="14" max="14" width="20.140625" style="2" bestFit="1" customWidth="1"/>
    <col min="15" max="15" width="6.85546875" style="2" hidden="1" customWidth="1"/>
    <col min="16" max="16" width="11.85546875" style="2" hidden="1" customWidth="1"/>
    <col min="17" max="17" width="15" style="2" customWidth="1"/>
    <col min="18" max="18" width="15.140625" style="2" customWidth="1"/>
    <col min="19" max="19" width="11" style="2" customWidth="1"/>
    <col min="20" max="20" width="10.85546875" style="2" customWidth="1"/>
    <col min="21" max="21" width="10.28515625" style="2" bestFit="1" customWidth="1"/>
    <col min="22" max="22" width="11.28515625" style="2" bestFit="1" customWidth="1"/>
    <col min="23" max="16384" width="9.140625" style="2"/>
  </cols>
  <sheetData>
    <row r="1" spans="1:28" x14ac:dyDescent="0.2">
      <c r="A1" s="1"/>
      <c r="C1" s="3"/>
      <c r="D1" s="3" t="s">
        <v>0</v>
      </c>
      <c r="E1" s="3"/>
      <c r="F1" s="3" t="s">
        <v>0</v>
      </c>
      <c r="G1" s="3"/>
      <c r="H1" s="3" t="s">
        <v>0</v>
      </c>
      <c r="I1" s="3"/>
      <c r="J1" s="3" t="s">
        <v>0</v>
      </c>
      <c r="K1" s="3"/>
      <c r="L1" s="3" t="s">
        <v>0</v>
      </c>
      <c r="M1" s="3"/>
      <c r="N1" s="3"/>
      <c r="O1" s="3" t="s">
        <v>46</v>
      </c>
      <c r="P1" s="38">
        <v>0.02</v>
      </c>
      <c r="Q1" s="38"/>
      <c r="S1" s="4"/>
    </row>
    <row r="2" spans="1:28" x14ac:dyDescent="0.2">
      <c r="A2" s="1" t="s">
        <v>1</v>
      </c>
      <c r="C2" s="5"/>
      <c r="D2" s="5">
        <v>2017</v>
      </c>
      <c r="E2" s="5"/>
      <c r="F2" s="5">
        <v>2018</v>
      </c>
      <c r="G2" s="5"/>
      <c r="H2" s="5">
        <v>2019</v>
      </c>
      <c r="I2" s="5"/>
      <c r="J2" s="5">
        <v>2020</v>
      </c>
      <c r="K2" s="5"/>
      <c r="L2" s="5">
        <v>2021</v>
      </c>
      <c r="M2" s="5"/>
      <c r="N2" s="5"/>
      <c r="O2" s="3" t="s">
        <v>47</v>
      </c>
      <c r="P2" s="38">
        <v>0.04</v>
      </c>
      <c r="Q2" s="38"/>
      <c r="S2" s="4"/>
    </row>
    <row r="3" spans="1:28" x14ac:dyDescent="0.2">
      <c r="A3" s="1" t="s">
        <v>2</v>
      </c>
      <c r="C3" s="5"/>
      <c r="D3" s="6" t="s">
        <v>35</v>
      </c>
      <c r="E3" s="5"/>
      <c r="F3" s="6" t="s">
        <v>36</v>
      </c>
      <c r="G3" s="5"/>
      <c r="H3" s="6" t="s">
        <v>37</v>
      </c>
      <c r="I3" s="5"/>
      <c r="J3" s="6" t="s">
        <v>38</v>
      </c>
      <c r="K3" s="5"/>
      <c r="L3" s="6" t="s">
        <v>39</v>
      </c>
      <c r="M3" s="5"/>
      <c r="N3" s="6" t="s">
        <v>8</v>
      </c>
      <c r="S3" s="4"/>
    </row>
    <row r="4" spans="1:28" x14ac:dyDescent="0.2">
      <c r="A4" s="2" t="s">
        <v>9</v>
      </c>
      <c r="E4" s="24"/>
      <c r="G4" s="24"/>
      <c r="I4" s="24"/>
      <c r="K4" s="24"/>
      <c r="M4" s="24"/>
    </row>
    <row r="5" spans="1:28" x14ac:dyDescent="0.2">
      <c r="B5" s="2" t="s">
        <v>10</v>
      </c>
      <c r="C5" s="7"/>
      <c r="D5" s="7">
        <f>'[3]MemMon Total'!I10</f>
        <v>13482714</v>
      </c>
      <c r="E5" s="10"/>
      <c r="F5" s="7">
        <f>'[3]MemMon Total'!J10</f>
        <v>12917762</v>
      </c>
      <c r="G5" s="10"/>
      <c r="H5" s="7">
        <f>'[3]MemMon Total'!K10</f>
        <v>12664544</v>
      </c>
      <c r="I5" s="10"/>
      <c r="J5" s="7">
        <f>'[3]MemMon Total'!$L10</f>
        <v>13634561</v>
      </c>
      <c r="K5" s="10"/>
      <c r="L5" s="7">
        <f>'[3]MemMon Total'!$M10</f>
        <v>14043897</v>
      </c>
      <c r="M5" s="10"/>
      <c r="N5" s="7">
        <f t="shared" ref="N5:N10" si="0">SUM(D5:L5)</f>
        <v>66743478</v>
      </c>
      <c r="O5" s="7"/>
      <c r="P5" s="38"/>
      <c r="Q5" s="9"/>
      <c r="R5" s="9"/>
      <c r="S5" s="9"/>
      <c r="T5" s="9"/>
      <c r="U5" s="9"/>
    </row>
    <row r="6" spans="1:28" x14ac:dyDescent="0.2">
      <c r="B6" s="2" t="s">
        <v>11</v>
      </c>
      <c r="C6" s="10"/>
      <c r="D6" s="7">
        <f>'[3]MemMon Total'!I11</f>
        <v>2241231</v>
      </c>
      <c r="E6" s="10"/>
      <c r="F6" s="7">
        <f>'[3]MemMon Total'!J11</f>
        <v>2275213</v>
      </c>
      <c r="G6" s="10"/>
      <c r="H6" s="7">
        <f>'[3]MemMon Total'!K11</f>
        <v>2290383</v>
      </c>
      <c r="I6" s="10"/>
      <c r="J6" s="7">
        <f>'[3]MemMon Total'!$L11</f>
        <v>2270211</v>
      </c>
      <c r="K6" s="10"/>
      <c r="L6" s="7">
        <f>'[3]MemMon Total'!$M11</f>
        <v>2440426</v>
      </c>
      <c r="M6" s="10"/>
      <c r="N6" s="7">
        <f t="shared" si="0"/>
        <v>11517464</v>
      </c>
      <c r="O6" s="7"/>
      <c r="P6" s="8"/>
      <c r="Q6" s="9"/>
      <c r="R6" s="9"/>
      <c r="S6" s="9"/>
      <c r="T6" s="9"/>
      <c r="U6" s="9"/>
    </row>
    <row r="7" spans="1:28" x14ac:dyDescent="0.2">
      <c r="B7" s="2" t="s">
        <v>13</v>
      </c>
      <c r="C7" s="7"/>
      <c r="D7" s="7">
        <f>'[3]MemMon Total'!I12</f>
        <v>362059</v>
      </c>
      <c r="E7" s="10"/>
      <c r="F7" s="7">
        <f>'[3]MemMon Total'!J12</f>
        <v>369046</v>
      </c>
      <c r="G7" s="10"/>
      <c r="H7" s="7">
        <f>'[3]MemMon Total'!K12</f>
        <v>383832</v>
      </c>
      <c r="I7" s="10"/>
      <c r="J7" s="7">
        <f>'[3]MemMon Total'!$L12</f>
        <v>375790</v>
      </c>
      <c r="K7" s="10"/>
      <c r="L7" s="7">
        <f>'[3]MemMon Total'!$M12</f>
        <v>373863</v>
      </c>
      <c r="M7" s="10"/>
      <c r="N7" s="7">
        <f t="shared" si="0"/>
        <v>1864590</v>
      </c>
      <c r="O7" s="7"/>
      <c r="P7" s="8"/>
      <c r="Q7" s="9"/>
      <c r="R7" s="9"/>
      <c r="S7" s="9"/>
      <c r="T7" s="9"/>
      <c r="U7" s="9"/>
    </row>
    <row r="8" spans="1:28" x14ac:dyDescent="0.2">
      <c r="B8" s="2" t="s">
        <v>14</v>
      </c>
      <c r="C8" s="7"/>
      <c r="D8" s="7">
        <f>'[3]MemMon Total'!I13</f>
        <v>367160</v>
      </c>
      <c r="E8" s="10"/>
      <c r="F8" s="7">
        <f>'[3]MemMon Total'!J13</f>
        <v>384901</v>
      </c>
      <c r="G8" s="10"/>
      <c r="H8" s="7">
        <f>'[3]MemMon Total'!K13</f>
        <v>405830</v>
      </c>
      <c r="I8" s="10"/>
      <c r="J8" s="7">
        <f>'[3]MemMon Total'!$L13</f>
        <v>429543</v>
      </c>
      <c r="K8" s="10"/>
      <c r="L8" s="7">
        <f>'[3]MemMon Total'!$M13</f>
        <v>460660</v>
      </c>
      <c r="M8" s="10"/>
      <c r="N8" s="7">
        <f t="shared" si="0"/>
        <v>2048094</v>
      </c>
      <c r="O8" s="7"/>
      <c r="P8" s="8"/>
      <c r="Q8" s="9"/>
      <c r="R8" s="9"/>
      <c r="S8" s="9"/>
      <c r="T8" s="9"/>
      <c r="U8" s="9"/>
    </row>
    <row r="9" spans="1:28" x14ac:dyDescent="0.2">
      <c r="B9" s="2" t="s">
        <v>57</v>
      </c>
      <c r="C9" s="7"/>
      <c r="D9" s="7">
        <f>'[3]MemMon Total'!$I$29</f>
        <v>1344121</v>
      </c>
      <c r="E9" s="10"/>
      <c r="F9" s="7">
        <f>'[3]MemMon Total'!$J$29</f>
        <v>1303370</v>
      </c>
      <c r="G9" s="10"/>
      <c r="H9" s="7">
        <f>'[3]MemMon Total'!$K$29</f>
        <v>1288157</v>
      </c>
      <c r="I9" s="10"/>
      <c r="J9" s="7">
        <f>'[3]MemMon Total'!$L$29</f>
        <v>1354338</v>
      </c>
      <c r="K9" s="10"/>
      <c r="L9" s="7">
        <f>'[3]MemMon Total'!$M$29</f>
        <v>1542792</v>
      </c>
      <c r="M9" s="10"/>
      <c r="N9" s="7">
        <f t="shared" si="0"/>
        <v>6832778</v>
      </c>
      <c r="O9" s="7"/>
      <c r="P9" s="8"/>
      <c r="Q9" s="9"/>
      <c r="R9" s="9"/>
      <c r="S9" s="9"/>
      <c r="T9" s="9"/>
      <c r="U9" s="9"/>
    </row>
    <row r="10" spans="1:28" x14ac:dyDescent="0.2">
      <c r="B10" s="11" t="s">
        <v>16</v>
      </c>
      <c r="C10" s="7"/>
      <c r="D10" s="12">
        <f>'[3]MemMon Total'!I$24</f>
        <v>3819185</v>
      </c>
      <c r="E10" s="10"/>
      <c r="F10" s="12">
        <f>'[3]MemMon Total'!J$24</f>
        <v>3737844</v>
      </c>
      <c r="G10" s="10"/>
      <c r="H10" s="12">
        <f>'[3]MemMon Total'!K$24</f>
        <v>3829011</v>
      </c>
      <c r="I10" s="10"/>
      <c r="J10" s="12">
        <f>'[3]MemMon Total'!$L$24</f>
        <v>4147232</v>
      </c>
      <c r="K10" s="10"/>
      <c r="L10" s="12">
        <f>'[3]MemMon Total'!$M$24</f>
        <v>4347427</v>
      </c>
      <c r="M10" s="10"/>
      <c r="N10" s="12">
        <f t="shared" si="0"/>
        <v>19880699</v>
      </c>
      <c r="O10" s="7"/>
      <c r="P10" s="8"/>
      <c r="Q10" s="9"/>
      <c r="R10" s="9"/>
      <c r="S10" s="9"/>
      <c r="T10" s="9"/>
      <c r="U10" s="9"/>
    </row>
    <row r="11" spans="1:28" x14ac:dyDescent="0.2">
      <c r="B11" s="2" t="s">
        <v>17</v>
      </c>
      <c r="C11" s="7"/>
      <c r="D11" s="8">
        <f>SUM(D5:D10)</f>
        <v>21616470</v>
      </c>
      <c r="E11" s="25"/>
      <c r="F11" s="8">
        <f t="shared" ref="F11:L11" si="1">SUM(F5:F10)</f>
        <v>20988136</v>
      </c>
      <c r="G11" s="25"/>
      <c r="H11" s="8">
        <f t="shared" si="1"/>
        <v>20861757</v>
      </c>
      <c r="I11" s="25"/>
      <c r="J11" s="8">
        <f t="shared" si="1"/>
        <v>22211675</v>
      </c>
      <c r="K11" s="25"/>
      <c r="L11" s="8">
        <f t="shared" si="1"/>
        <v>23209065</v>
      </c>
      <c r="M11" s="25"/>
      <c r="N11" s="8">
        <f>SUM(N5:N10)</f>
        <v>108887103</v>
      </c>
      <c r="P11" s="15"/>
    </row>
    <row r="12" spans="1:28" x14ac:dyDescent="0.2">
      <c r="C12" s="7"/>
      <c r="D12" s="8"/>
      <c r="E12" s="25"/>
      <c r="F12" s="8"/>
      <c r="G12" s="25"/>
      <c r="H12" s="8"/>
      <c r="I12" s="25"/>
      <c r="J12" s="8"/>
      <c r="K12" s="25"/>
      <c r="L12" s="20"/>
      <c r="M12" s="25"/>
      <c r="N12" s="7"/>
    </row>
    <row r="13" spans="1:28" x14ac:dyDescent="0.2">
      <c r="A13" s="2" t="s">
        <v>18</v>
      </c>
      <c r="C13" s="7"/>
      <c r="D13" s="13"/>
      <c r="E13" s="42"/>
      <c r="F13" s="13"/>
      <c r="G13" s="42"/>
      <c r="H13" s="13"/>
      <c r="I13" s="42"/>
      <c r="J13" s="13"/>
      <c r="K13" s="42"/>
      <c r="L13" s="13"/>
      <c r="M13" s="42"/>
      <c r="N13" s="13"/>
    </row>
    <row r="14" spans="1:28" x14ac:dyDescent="0.2">
      <c r="B14" s="2" t="s">
        <v>10</v>
      </c>
      <c r="C14" s="14"/>
      <c r="D14" s="14">
        <f>'[3]WOW PMPM &amp; Agg'!I10</f>
        <v>749.11</v>
      </c>
      <c r="E14" s="17"/>
      <c r="F14" s="14">
        <f>'[3]WOW PMPM &amp; Agg'!J10</f>
        <v>782.82</v>
      </c>
      <c r="G14" s="17"/>
      <c r="H14" s="14">
        <f>'[3]WOW PMPM &amp; Agg'!K10</f>
        <v>818.05</v>
      </c>
      <c r="I14" s="17"/>
      <c r="J14" s="14">
        <f>'[3]WOW PMPM &amp; Agg'!L10</f>
        <v>854.86</v>
      </c>
      <c r="K14" s="17"/>
      <c r="L14" s="14">
        <f>'[3]WOW PMPM &amp; Agg'!M10</f>
        <v>893.33</v>
      </c>
      <c r="M14" s="17"/>
      <c r="N14" s="17"/>
      <c r="O14" s="15"/>
      <c r="P14" s="36"/>
      <c r="Q14" s="15"/>
      <c r="R14" s="13"/>
      <c r="S14" s="9"/>
      <c r="T14" s="16"/>
      <c r="U14" s="9"/>
      <c r="V14" s="16"/>
      <c r="W14" s="9"/>
      <c r="X14" s="16"/>
      <c r="Y14" s="9"/>
      <c r="Z14" s="16"/>
      <c r="AA14" s="9"/>
      <c r="AB14" s="16"/>
    </row>
    <row r="15" spans="1:28" x14ac:dyDescent="0.2">
      <c r="B15" s="2" t="s">
        <v>11</v>
      </c>
      <c r="C15" s="17"/>
      <c r="D15" s="14">
        <f>'[3]WOW PMPM &amp; Agg'!I11</f>
        <v>1162.52</v>
      </c>
      <c r="E15" s="17"/>
      <c r="F15" s="14">
        <f>'[3]WOW PMPM &amp; Agg'!J11</f>
        <v>1209.02</v>
      </c>
      <c r="G15" s="17"/>
      <c r="H15" s="14">
        <f>'[3]WOW PMPM &amp; Agg'!K11</f>
        <v>1257.3800000000001</v>
      </c>
      <c r="I15" s="17"/>
      <c r="J15" s="14">
        <f>'[3]WOW PMPM &amp; Agg'!L11</f>
        <v>1307.68</v>
      </c>
      <c r="K15" s="17"/>
      <c r="L15" s="14">
        <f>'[3]WOW PMPM &amp; Agg'!M11</f>
        <v>1359.99</v>
      </c>
      <c r="M15" s="17"/>
      <c r="N15" s="17"/>
      <c r="O15" s="15"/>
      <c r="P15" s="36"/>
      <c r="Q15" s="15"/>
      <c r="R15" s="13"/>
      <c r="T15" s="16"/>
      <c r="V15" s="16"/>
      <c r="X15" s="16"/>
      <c r="Z15" s="16"/>
      <c r="AB15" s="16"/>
    </row>
    <row r="16" spans="1:28" x14ac:dyDescent="0.2">
      <c r="B16" s="2" t="s">
        <v>13</v>
      </c>
      <c r="C16" s="17"/>
      <c r="D16" s="14">
        <f>'[3]WOW PMPM &amp; Agg'!I12</f>
        <v>6016.98</v>
      </c>
      <c r="E16" s="17"/>
      <c r="F16" s="14">
        <f>'[3]WOW PMPM &amp; Agg'!J12</f>
        <v>6239.61</v>
      </c>
      <c r="G16" s="17"/>
      <c r="H16" s="14">
        <f>'[3]WOW PMPM &amp; Agg'!K12</f>
        <v>6470.48</v>
      </c>
      <c r="I16" s="17"/>
      <c r="J16" s="14">
        <f>'[3]WOW PMPM &amp; Agg'!L12</f>
        <v>6709.89</v>
      </c>
      <c r="K16" s="17"/>
      <c r="L16" s="14">
        <f>'[3]WOW PMPM &amp; Agg'!M12</f>
        <v>6958.16</v>
      </c>
      <c r="M16" s="17"/>
      <c r="N16" s="17"/>
      <c r="O16" s="15"/>
      <c r="P16" s="36"/>
      <c r="Q16" s="15"/>
      <c r="R16" s="13"/>
      <c r="T16" s="16"/>
      <c r="V16" s="16"/>
      <c r="X16" s="16"/>
      <c r="Z16" s="16"/>
      <c r="AB16" s="16"/>
    </row>
    <row r="17" spans="1:28" x14ac:dyDescent="0.2">
      <c r="B17" s="2" t="s">
        <v>14</v>
      </c>
      <c r="C17" s="14"/>
      <c r="D17" s="14">
        <f>'[3]WOW PMPM &amp; Agg'!I13</f>
        <v>6462.96</v>
      </c>
      <c r="E17" s="17"/>
      <c r="F17" s="14">
        <f>'[3]WOW PMPM &amp; Agg'!J13</f>
        <v>6721.48</v>
      </c>
      <c r="G17" s="17"/>
      <c r="H17" s="14">
        <f>'[3]WOW PMPM &amp; Agg'!K13</f>
        <v>6990.34</v>
      </c>
      <c r="I17" s="17"/>
      <c r="J17" s="14">
        <f>'[3]WOW PMPM &amp; Agg'!L13</f>
        <v>7269.95</v>
      </c>
      <c r="K17" s="17"/>
      <c r="L17" s="14">
        <f>'[3]WOW PMPM &amp; Agg'!M13</f>
        <v>7560.75</v>
      </c>
      <c r="M17" s="17"/>
      <c r="N17" s="17"/>
      <c r="O17" s="15"/>
      <c r="P17" s="36"/>
      <c r="Q17" s="15"/>
      <c r="R17" s="13"/>
      <c r="T17" s="16"/>
      <c r="V17" s="16"/>
      <c r="X17" s="16"/>
      <c r="Z17" s="16"/>
      <c r="AB17" s="16"/>
    </row>
    <row r="18" spans="1:28" x14ac:dyDescent="0.2">
      <c r="B18" s="2" t="s">
        <v>57</v>
      </c>
      <c r="C18" s="14"/>
      <c r="D18" s="14">
        <f>D41/D9</f>
        <v>344.79501101463336</v>
      </c>
      <c r="E18" s="17"/>
      <c r="F18" s="14">
        <f>F41/F9</f>
        <v>358.50681080583411</v>
      </c>
      <c r="G18" s="17"/>
      <c r="H18" s="14">
        <f>H41/H9</f>
        <v>362.23811771391217</v>
      </c>
      <c r="I18" s="17"/>
      <c r="J18" s="14">
        <f>J41/J9</f>
        <v>376.73003341854104</v>
      </c>
      <c r="K18" s="17"/>
      <c r="L18" s="14">
        <f>L41/L9</f>
        <v>441.57527391897287</v>
      </c>
      <c r="M18" s="17"/>
      <c r="N18" s="17"/>
      <c r="O18" s="15"/>
      <c r="P18" s="36"/>
      <c r="Q18" s="15"/>
      <c r="R18" s="13"/>
      <c r="T18" s="16"/>
      <c r="V18" s="16"/>
      <c r="X18" s="16"/>
      <c r="Z18" s="16"/>
      <c r="AB18" s="16"/>
    </row>
    <row r="19" spans="1:28" x14ac:dyDescent="0.2">
      <c r="B19" s="11" t="s">
        <v>16</v>
      </c>
      <c r="C19" s="14"/>
      <c r="D19" s="19">
        <f>D42/D10</f>
        <v>600.67788651243654</v>
      </c>
      <c r="E19" s="17"/>
      <c r="F19" s="19">
        <f t="shared" ref="F19:L19" si="2">F42/F10</f>
        <v>649.52172161277997</v>
      </c>
      <c r="G19" s="17"/>
      <c r="H19" s="19">
        <f t="shared" si="2"/>
        <v>713.12383171529154</v>
      </c>
      <c r="I19" s="17"/>
      <c r="J19" s="19">
        <f t="shared" si="2"/>
        <v>741.63999023927283</v>
      </c>
      <c r="K19" s="17"/>
      <c r="L19" s="19">
        <f t="shared" si="2"/>
        <v>877.79360067460595</v>
      </c>
      <c r="M19" s="17"/>
      <c r="N19" s="17"/>
      <c r="O19" s="15"/>
      <c r="P19" s="36"/>
      <c r="Q19" s="15"/>
      <c r="R19" s="13"/>
      <c r="T19" s="16"/>
      <c r="V19" s="16"/>
      <c r="X19" s="16"/>
      <c r="Z19" s="16"/>
      <c r="AB19" s="16"/>
    </row>
    <row r="20" spans="1:28" x14ac:dyDescent="0.2">
      <c r="B20" s="2" t="s">
        <v>19</v>
      </c>
      <c r="C20" s="7"/>
      <c r="D20" s="20">
        <f>D29/D11</f>
        <v>925.89123437267961</v>
      </c>
      <c r="E20" s="43"/>
      <c r="F20" s="20">
        <f t="shared" ref="F20:L20" si="3">F29/F11</f>
        <v>983.7913117982464</v>
      </c>
      <c r="G20" s="43"/>
      <c r="H20" s="20">
        <f t="shared" si="3"/>
        <v>1042.9494275242491</v>
      </c>
      <c r="I20" s="43"/>
      <c r="J20" s="20">
        <f t="shared" si="3"/>
        <v>1073.9662317227314</v>
      </c>
      <c r="K20" s="43"/>
      <c r="L20" s="20">
        <f t="shared" si="3"/>
        <v>1139.4912117312783</v>
      </c>
      <c r="M20" s="43"/>
      <c r="N20" s="43"/>
      <c r="P20" s="13"/>
      <c r="Q20" s="13"/>
      <c r="R20" s="13"/>
      <c r="S20" s="13"/>
      <c r="T20" s="13"/>
      <c r="U20" s="13"/>
      <c r="V20" s="13"/>
      <c r="W20" s="13"/>
    </row>
    <row r="21" spans="1:28" x14ac:dyDescent="0.2">
      <c r="C21" s="7"/>
      <c r="D21" s="21"/>
      <c r="E21" s="44"/>
      <c r="F21" s="22"/>
      <c r="G21" s="44"/>
      <c r="H21" s="22"/>
      <c r="I21" s="44"/>
      <c r="J21" s="22"/>
      <c r="K21" s="44"/>
      <c r="L21" s="22"/>
      <c r="M21" s="44"/>
      <c r="N21" s="23"/>
    </row>
    <row r="22" spans="1:28" x14ac:dyDescent="0.2">
      <c r="A22" s="2" t="s">
        <v>20</v>
      </c>
      <c r="C22" s="7"/>
      <c r="D22" s="22"/>
      <c r="E22" s="45"/>
      <c r="F22" s="22"/>
      <c r="G22" s="45"/>
      <c r="H22" s="22"/>
      <c r="I22" s="45"/>
      <c r="J22" s="22"/>
      <c r="K22" s="45"/>
      <c r="L22" s="22"/>
      <c r="M22" s="45"/>
      <c r="N22" s="7"/>
      <c r="P22" s="24"/>
    </row>
    <row r="23" spans="1:28" x14ac:dyDescent="0.2">
      <c r="B23" s="2" t="s">
        <v>10</v>
      </c>
      <c r="C23" s="7"/>
      <c r="D23" s="7">
        <f t="shared" ref="D23:D28" si="4">D14*D5</f>
        <v>10100035884.540001</v>
      </c>
      <c r="E23" s="10"/>
      <c r="F23" s="7">
        <f t="shared" ref="F23:F28" si="5">F14*F5</f>
        <v>10112282448.84</v>
      </c>
      <c r="G23" s="10"/>
      <c r="H23" s="7">
        <f t="shared" ref="H23:H28" si="6">H14*H5</f>
        <v>10360230219.199999</v>
      </c>
      <c r="I23" s="10"/>
      <c r="J23" s="7">
        <f>ROUND((J14*J5),-2)</f>
        <v>11655640800</v>
      </c>
      <c r="K23" s="10"/>
      <c r="L23" s="7">
        <f>ROUND((L14*L5),-2)</f>
        <v>12545834500</v>
      </c>
      <c r="M23" s="10"/>
      <c r="N23" s="7">
        <f t="shared" ref="N23:N28" si="7">SUM(D23:L23)</f>
        <v>54774023852.580002</v>
      </c>
      <c r="O23" s="9"/>
      <c r="P23" s="39"/>
    </row>
    <row r="24" spans="1:28" x14ac:dyDescent="0.2">
      <c r="B24" s="2" t="s">
        <v>11</v>
      </c>
      <c r="C24" s="10"/>
      <c r="D24" s="7">
        <f t="shared" si="4"/>
        <v>2605475862.1199999</v>
      </c>
      <c r="E24" s="10"/>
      <c r="F24" s="7">
        <f t="shared" si="5"/>
        <v>2750778021.2599998</v>
      </c>
      <c r="G24" s="10"/>
      <c r="H24" s="7">
        <f t="shared" si="6"/>
        <v>2879881776.5400004</v>
      </c>
      <c r="I24" s="10"/>
      <c r="J24" s="7">
        <f t="shared" ref="J24:J25" si="8">ROUND((J15*J6),-2)</f>
        <v>2968709500</v>
      </c>
      <c r="K24" s="10"/>
      <c r="L24" s="7">
        <f t="shared" ref="L24:L28" si="9">ROUND((L15*L6),-2)</f>
        <v>3318955000</v>
      </c>
      <c r="M24" s="10"/>
      <c r="N24" s="7">
        <f t="shared" si="7"/>
        <v>14523800159.92</v>
      </c>
      <c r="O24" s="9"/>
      <c r="P24" s="25"/>
    </row>
    <row r="25" spans="1:28" x14ac:dyDescent="0.2">
      <c r="B25" s="2" t="s">
        <v>13</v>
      </c>
      <c r="C25" s="10"/>
      <c r="D25" s="7">
        <f t="shared" si="4"/>
        <v>2178501761.8199997</v>
      </c>
      <c r="E25" s="10"/>
      <c r="F25" s="7">
        <f t="shared" si="5"/>
        <v>2302703112.0599999</v>
      </c>
      <c r="G25" s="10"/>
      <c r="H25" s="7">
        <f t="shared" si="6"/>
        <v>2483577279.3599997</v>
      </c>
      <c r="I25" s="10"/>
      <c r="J25" s="7">
        <f t="shared" si="8"/>
        <v>2521509600</v>
      </c>
      <c r="K25" s="10"/>
      <c r="L25" s="7">
        <f t="shared" si="9"/>
        <v>2601398600</v>
      </c>
      <c r="M25" s="10"/>
      <c r="N25" s="7">
        <f t="shared" si="7"/>
        <v>12087690353.239998</v>
      </c>
      <c r="O25" s="9"/>
      <c r="P25" s="25"/>
    </row>
    <row r="26" spans="1:28" x14ac:dyDescent="0.2">
      <c r="B26" s="2" t="s">
        <v>14</v>
      </c>
      <c r="C26" s="10"/>
      <c r="D26" s="7">
        <f t="shared" si="4"/>
        <v>2372940393.5999999</v>
      </c>
      <c r="E26" s="10"/>
      <c r="F26" s="7">
        <f t="shared" si="5"/>
        <v>2587104373.48</v>
      </c>
      <c r="G26" s="10"/>
      <c r="H26" s="7">
        <f t="shared" si="6"/>
        <v>2836889682.2000003</v>
      </c>
      <c r="I26" s="10"/>
      <c r="J26" s="7">
        <f>ROUND((J17*J8),-2)</f>
        <v>3122756100</v>
      </c>
      <c r="K26" s="10"/>
      <c r="L26" s="7">
        <f t="shared" si="9"/>
        <v>3482935100</v>
      </c>
      <c r="M26" s="10"/>
      <c r="N26" s="7">
        <f t="shared" si="7"/>
        <v>14402625649.280001</v>
      </c>
      <c r="O26" s="9"/>
      <c r="P26" s="25"/>
    </row>
    <row r="27" spans="1:28" x14ac:dyDescent="0.2">
      <c r="B27" s="2" t="s">
        <v>57</v>
      </c>
      <c r="C27" s="10"/>
      <c r="D27" s="7">
        <f t="shared" si="4"/>
        <v>463446215</v>
      </c>
      <c r="E27" s="10"/>
      <c r="F27" s="7">
        <f t="shared" si="5"/>
        <v>467267022</v>
      </c>
      <c r="G27" s="10"/>
      <c r="H27" s="7">
        <f t="shared" si="6"/>
        <v>466619566.99999994</v>
      </c>
      <c r="I27" s="10"/>
      <c r="J27" s="7">
        <f t="shared" ref="J27:J28" si="10">ROUND((J18*J9),-2)</f>
        <v>510219800</v>
      </c>
      <c r="K27" s="10"/>
      <c r="L27" s="7">
        <f t="shared" si="9"/>
        <v>681258800</v>
      </c>
      <c r="M27" s="10"/>
      <c r="N27" s="7">
        <f t="shared" si="7"/>
        <v>2588811404</v>
      </c>
      <c r="O27" s="9"/>
      <c r="P27" s="25"/>
    </row>
    <row r="28" spans="1:28" x14ac:dyDescent="0.2">
      <c r="B28" s="11" t="s">
        <v>16</v>
      </c>
      <c r="C28" s="10"/>
      <c r="D28" s="12">
        <f t="shared" si="4"/>
        <v>2294099974</v>
      </c>
      <c r="E28" s="10"/>
      <c r="F28" s="12">
        <f t="shared" si="5"/>
        <v>2427810870</v>
      </c>
      <c r="G28" s="10"/>
      <c r="H28" s="12">
        <f t="shared" si="6"/>
        <v>2730558996</v>
      </c>
      <c r="I28" s="10"/>
      <c r="J28" s="12">
        <f t="shared" si="10"/>
        <v>3075753100</v>
      </c>
      <c r="K28" s="10"/>
      <c r="L28" s="12">
        <f t="shared" si="9"/>
        <v>3816143600</v>
      </c>
      <c r="M28" s="10"/>
      <c r="N28" s="12">
        <f t="shared" si="7"/>
        <v>14344366540</v>
      </c>
      <c r="O28" s="9"/>
      <c r="P28" s="25"/>
    </row>
    <row r="29" spans="1:28" x14ac:dyDescent="0.2">
      <c r="B29" s="2" t="s">
        <v>8</v>
      </c>
      <c r="C29" s="7"/>
      <c r="D29" s="8">
        <f>SUM(D23:D28)</f>
        <v>20014500091.079998</v>
      </c>
      <c r="E29" s="25"/>
      <c r="F29" s="8">
        <f>SUM(F23:F28)</f>
        <v>20647945847.639999</v>
      </c>
      <c r="G29" s="25"/>
      <c r="H29" s="8">
        <f>SUM(H23:H28)</f>
        <v>21757757520.299999</v>
      </c>
      <c r="I29" s="25"/>
      <c r="J29" s="8">
        <f>SUM(J23:J28)</f>
        <v>23854588900</v>
      </c>
      <c r="K29" s="25"/>
      <c r="L29" s="8">
        <f>SUM(L23:L28)</f>
        <v>26446525600</v>
      </c>
      <c r="M29" s="25"/>
      <c r="N29" s="8">
        <f>SUM(N23:N28)</f>
        <v>112721317959.01999</v>
      </c>
      <c r="P29" s="25"/>
    </row>
    <row r="30" spans="1:28" x14ac:dyDescent="0.2">
      <c r="C30" s="7"/>
      <c r="E30" s="24"/>
      <c r="G30" s="24"/>
      <c r="I30" s="24"/>
      <c r="K30" s="24"/>
      <c r="M30" s="24"/>
      <c r="N30" s="7"/>
      <c r="P30" s="24"/>
    </row>
    <row r="31" spans="1:28" x14ac:dyDescent="0.2">
      <c r="A31" s="2" t="s">
        <v>21</v>
      </c>
      <c r="C31" s="7"/>
      <c r="D31" s="12">
        <f>'[3]WOW PMPM &amp; Agg'!I$31</f>
        <v>160509328.42287695</v>
      </c>
      <c r="E31" s="10"/>
      <c r="F31" s="12">
        <f>'[3]WOW PMPM &amp; Agg'!J$31</f>
        <v>162832936.04235229</v>
      </c>
      <c r="G31" s="10"/>
      <c r="H31" s="12">
        <f>'[3]WOW PMPM &amp; Agg'!K$31</f>
        <v>166932007</v>
      </c>
      <c r="I31" s="10"/>
      <c r="J31" s="12">
        <f>[4]Allotments!$J$45</f>
        <v>169491285.71428573</v>
      </c>
      <c r="K31" s="10"/>
      <c r="L31" s="12">
        <f>[4]Allotments!$J$46</f>
        <v>120105285.71428572</v>
      </c>
      <c r="M31" s="10"/>
      <c r="N31" s="12">
        <f>D31+F31+H31+J31+L31</f>
        <v>779870842.89380074</v>
      </c>
      <c r="O31" s="9"/>
      <c r="P31" s="25"/>
    </row>
    <row r="32" spans="1:28" x14ac:dyDescent="0.2">
      <c r="C32" s="7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9"/>
      <c r="P32" s="25"/>
    </row>
    <row r="33" spans="1:22" x14ac:dyDescent="0.2">
      <c r="C33" s="7"/>
      <c r="E33" s="24"/>
      <c r="G33" s="24"/>
      <c r="I33" s="24"/>
      <c r="K33" s="24"/>
      <c r="M33" s="24"/>
      <c r="N33" s="7"/>
      <c r="P33" s="24"/>
    </row>
    <row r="34" spans="1:22" ht="13.5" thickBot="1" x14ac:dyDescent="0.25">
      <c r="A34" s="2" t="s">
        <v>22</v>
      </c>
      <c r="C34" s="7"/>
      <c r="D34" s="26">
        <f>D31+D29</f>
        <v>20175009419.502876</v>
      </c>
      <c r="E34" s="25"/>
      <c r="F34" s="26">
        <f>F31+F29</f>
        <v>20810778783.68235</v>
      </c>
      <c r="G34" s="25"/>
      <c r="H34" s="26">
        <f>H31+H29</f>
        <v>21924689527.299999</v>
      </c>
      <c r="I34" s="25"/>
      <c r="J34" s="26">
        <f>J31+J29</f>
        <v>24024080185.714287</v>
      </c>
      <c r="K34" s="25"/>
      <c r="L34" s="26">
        <f>L31+L29</f>
        <v>26566630885.714287</v>
      </c>
      <c r="M34" s="25"/>
      <c r="N34" s="27">
        <f>N31+N29</f>
        <v>113501188801.91379</v>
      </c>
      <c r="O34" s="9"/>
      <c r="P34" s="25"/>
    </row>
    <row r="35" spans="1:22" x14ac:dyDescent="0.2">
      <c r="D35" s="28"/>
      <c r="E35" s="46"/>
      <c r="F35" s="28"/>
      <c r="G35" s="46"/>
      <c r="H35" s="28"/>
      <c r="I35" s="46"/>
      <c r="J35" s="28"/>
      <c r="K35" s="46"/>
      <c r="L35" s="28"/>
      <c r="M35" s="46"/>
      <c r="N35" s="8"/>
      <c r="P35" s="24"/>
    </row>
    <row r="36" spans="1:22" x14ac:dyDescent="0.2">
      <c r="A36" s="1" t="s">
        <v>23</v>
      </c>
      <c r="C36" s="7"/>
      <c r="D36" s="29"/>
      <c r="E36" s="47"/>
      <c r="F36" s="29"/>
      <c r="G36" s="47"/>
      <c r="H36" s="29"/>
      <c r="I36" s="47"/>
      <c r="J36" s="29"/>
      <c r="K36" s="47"/>
      <c r="L36" s="29"/>
      <c r="M36" s="47"/>
      <c r="N36" s="7"/>
      <c r="P36" s="24"/>
      <c r="S36" s="3"/>
      <c r="T36" s="3"/>
      <c r="U36" s="3"/>
    </row>
    <row r="37" spans="1:22" x14ac:dyDescent="0.2">
      <c r="B37" s="2" t="s">
        <v>10</v>
      </c>
      <c r="C37" s="7"/>
      <c r="D37" s="7">
        <f>'[3]WW Spending Total'!I10</f>
        <v>3943965278</v>
      </c>
      <c r="E37" s="10"/>
      <c r="F37" s="7">
        <f>'[3]WW Spending Total'!J10</f>
        <v>4013319586</v>
      </c>
      <c r="G37" s="10"/>
      <c r="H37" s="7">
        <f>'[3]WW Spending Total'!K10</f>
        <v>4002226228</v>
      </c>
      <c r="I37" s="10"/>
      <c r="J37" s="7">
        <f>ROUND((J5*J54),-2)</f>
        <v>4481134800</v>
      </c>
      <c r="K37" s="10"/>
      <c r="L37" s="7">
        <f>ROUND((L5*P54),-2)+Sheet1!C44</f>
        <v>5474797300</v>
      </c>
      <c r="M37" s="10"/>
      <c r="N37" s="7">
        <f t="shared" ref="N37:N46" si="11">SUM(D37:L37)</f>
        <v>21915443192</v>
      </c>
      <c r="O37" s="8"/>
      <c r="P37" s="40"/>
      <c r="Q37" s="28"/>
      <c r="R37" s="40"/>
      <c r="S37" s="40"/>
      <c r="T37" s="40"/>
      <c r="U37" s="40"/>
      <c r="V37" s="40"/>
    </row>
    <row r="38" spans="1:22" x14ac:dyDescent="0.2">
      <c r="B38" s="2" t="s">
        <v>11</v>
      </c>
      <c r="C38" s="7"/>
      <c r="D38" s="7">
        <f>'[3]WW Spending Total'!I11</f>
        <v>1965933865</v>
      </c>
      <c r="E38" s="10"/>
      <c r="F38" s="7">
        <f>'[3]WW Spending Total'!J11</f>
        <v>2072927606</v>
      </c>
      <c r="G38" s="10"/>
      <c r="H38" s="7">
        <f>'[3]WW Spending Total'!K11</f>
        <v>2104291504</v>
      </c>
      <c r="I38" s="10"/>
      <c r="J38" s="7">
        <f>ROUND((J6*J55),-2)</f>
        <v>2169186600</v>
      </c>
      <c r="K38" s="10"/>
      <c r="L38" s="7">
        <f>ROUND((L6*P55),-2)+Sheet1!C45</f>
        <v>2751583100</v>
      </c>
      <c r="M38" s="10"/>
      <c r="N38" s="7">
        <f t="shared" si="11"/>
        <v>11063922675</v>
      </c>
      <c r="O38" s="8"/>
      <c r="P38" s="40"/>
      <c r="Q38" s="8"/>
      <c r="R38" s="40"/>
      <c r="S38" s="40"/>
      <c r="T38" s="40"/>
      <c r="U38" s="40"/>
      <c r="V38" s="40"/>
    </row>
    <row r="39" spans="1:22" x14ac:dyDescent="0.2">
      <c r="B39" s="2" t="s">
        <v>13</v>
      </c>
      <c r="C39" s="7"/>
      <c r="D39" s="7">
        <f>'[3]WW Spending Total'!I12</f>
        <v>1386780684</v>
      </c>
      <c r="E39" s="10"/>
      <c r="F39" s="7">
        <f>'[3]WW Spending Total'!J12</f>
        <v>1437707472</v>
      </c>
      <c r="G39" s="10"/>
      <c r="H39" s="7">
        <f>'[3]WW Spending Total'!K12</f>
        <v>1544257849</v>
      </c>
      <c r="I39" s="10"/>
      <c r="J39" s="7">
        <f>ROUND((J7*J56),-2)</f>
        <v>1572376800</v>
      </c>
      <c r="K39" s="10"/>
      <c r="L39" s="7">
        <f>ROUND((L7*P56),-2)+Sheet1!C46</f>
        <v>1670521000</v>
      </c>
      <c r="M39" s="10"/>
      <c r="N39" s="7">
        <f t="shared" si="11"/>
        <v>7611643805</v>
      </c>
      <c r="O39" s="8"/>
      <c r="P39" s="40"/>
      <c r="Q39" s="8"/>
      <c r="R39" s="40"/>
      <c r="S39" s="40"/>
      <c r="T39" s="40"/>
      <c r="U39" s="40"/>
      <c r="V39" s="40"/>
    </row>
    <row r="40" spans="1:22" x14ac:dyDescent="0.2">
      <c r="B40" s="2" t="s">
        <v>14</v>
      </c>
      <c r="C40" s="7"/>
      <c r="D40" s="7">
        <f>'[3]WW Spending Total'!I13</f>
        <v>1382278096</v>
      </c>
      <c r="E40" s="10"/>
      <c r="F40" s="7">
        <f>'[3]WW Spending Total'!J13</f>
        <v>1568572942</v>
      </c>
      <c r="G40" s="10"/>
      <c r="H40" s="7">
        <f>'[3]WW Spending Total'!K13</f>
        <v>1813888664</v>
      </c>
      <c r="I40" s="10"/>
      <c r="J40" s="7">
        <f>ROUND((J8*J57),-2)</f>
        <v>1996670500</v>
      </c>
      <c r="K40" s="10"/>
      <c r="L40" s="7">
        <f>ROUND((L8*P57),-2)+Sheet1!C47</f>
        <v>2282371900</v>
      </c>
      <c r="M40" s="10"/>
      <c r="N40" s="7">
        <f t="shared" si="11"/>
        <v>9043782102</v>
      </c>
      <c r="O40" s="8"/>
      <c r="P40" s="40"/>
      <c r="Q40" s="8"/>
      <c r="R40" s="40"/>
      <c r="S40" s="40"/>
      <c r="T40" s="40"/>
      <c r="U40" s="40"/>
      <c r="V40" s="40"/>
    </row>
    <row r="41" spans="1:22" x14ac:dyDescent="0.2">
      <c r="B41" s="2" t="s">
        <v>57</v>
      </c>
      <c r="C41" s="7"/>
      <c r="D41" s="7">
        <f>'[3]WW Spending Total'!$I$41</f>
        <v>463446215</v>
      </c>
      <c r="E41" s="10"/>
      <c r="F41" s="7">
        <f>'[3]WW Spending Total'!$J$41</f>
        <v>467267022</v>
      </c>
      <c r="G41" s="10"/>
      <c r="H41" s="7">
        <f>'[3]WW Spending Total'!$K$41</f>
        <v>466619567</v>
      </c>
      <c r="I41" s="10"/>
      <c r="J41" s="7">
        <f>ROUND((J9*J58),-2)</f>
        <v>510219800</v>
      </c>
      <c r="K41" s="10"/>
      <c r="L41" s="7">
        <f>ROUND((L9*P58),-2)+Sheet1!C48</f>
        <v>681258800</v>
      </c>
      <c r="M41" s="10"/>
      <c r="N41" s="7">
        <f t="shared" si="11"/>
        <v>2588811404</v>
      </c>
      <c r="O41" s="8"/>
      <c r="P41" s="40"/>
      <c r="Q41" s="8"/>
      <c r="R41" s="40"/>
      <c r="S41" s="40"/>
      <c r="T41" s="40"/>
      <c r="U41" s="40"/>
      <c r="V41" s="40"/>
    </row>
    <row r="42" spans="1:22" x14ac:dyDescent="0.2">
      <c r="B42" s="11" t="s">
        <v>16</v>
      </c>
      <c r="C42" s="7"/>
      <c r="D42" s="7">
        <f>'[3]WW Spending Total'!I$31</f>
        <v>2294099974</v>
      </c>
      <c r="E42" s="10"/>
      <c r="F42" s="7">
        <f>'[3]WW Spending Total'!J$31</f>
        <v>2427810870</v>
      </c>
      <c r="G42" s="10"/>
      <c r="H42" s="7">
        <f>'[3]WW Spending Total'!K$31</f>
        <v>2730558996</v>
      </c>
      <c r="I42" s="10"/>
      <c r="J42" s="7">
        <f t="shared" ref="J42" si="12">ROUND((J10*J59),-2)</f>
        <v>3075753100</v>
      </c>
      <c r="K42" s="10"/>
      <c r="L42" s="7">
        <f>ROUND((L10*P59),-2)+Sheet1!C49</f>
        <v>3816143600</v>
      </c>
      <c r="M42" s="10"/>
      <c r="N42" s="10">
        <f t="shared" si="11"/>
        <v>14344366540</v>
      </c>
      <c r="O42" s="8"/>
      <c r="P42" s="40"/>
      <c r="Q42" s="25"/>
      <c r="R42" s="40"/>
      <c r="S42" s="40"/>
      <c r="T42" s="40"/>
      <c r="U42" s="40"/>
      <c r="V42" s="40"/>
    </row>
    <row r="43" spans="1:22" x14ac:dyDescent="0.2">
      <c r="B43" s="41" t="s">
        <v>44</v>
      </c>
      <c r="C43" s="7"/>
      <c r="D43" s="7">
        <f>'[3]WW Spending Total'!I$26</f>
        <v>13165373</v>
      </c>
      <c r="E43" s="10"/>
      <c r="F43" s="7">
        <f>[5]Summary!$C$21</f>
        <v>21137600</v>
      </c>
      <c r="G43" s="10"/>
      <c r="H43" s="7">
        <f>[5]Summary!$D$21</f>
        <v>27306100</v>
      </c>
      <c r="I43" s="10"/>
      <c r="J43" s="7">
        <f>[5]Summary!$E$21</f>
        <v>20975000</v>
      </c>
      <c r="K43" s="10"/>
      <c r="L43" s="7">
        <f>[5]Summary!$F$21</f>
        <v>14991000</v>
      </c>
      <c r="M43" s="10"/>
      <c r="N43" s="10">
        <f t="shared" si="11"/>
        <v>97575073</v>
      </c>
      <c r="O43" s="8"/>
      <c r="P43" s="40"/>
      <c r="Q43" s="25"/>
      <c r="R43" s="40"/>
      <c r="S43" s="40"/>
      <c r="T43" s="40"/>
      <c r="U43" s="40"/>
      <c r="V43" s="40"/>
    </row>
    <row r="44" spans="1:22" x14ac:dyDescent="0.2">
      <c r="B44" s="41" t="s">
        <v>45</v>
      </c>
      <c r="C44" s="7"/>
      <c r="D44" s="7">
        <f>'[3]WW Spending Total'!I$25</f>
        <v>19325179</v>
      </c>
      <c r="E44" s="10"/>
      <c r="F44" s="7">
        <f>[5]Summary!$C$14</f>
        <v>70000000</v>
      </c>
      <c r="G44" s="10"/>
      <c r="H44" s="7">
        <f>[5]Summary!$D$14</f>
        <v>90000000</v>
      </c>
      <c r="I44" s="10"/>
      <c r="J44" s="7">
        <f>[5]Summary!$E$14</f>
        <v>70000000</v>
      </c>
      <c r="K44" s="10"/>
      <c r="L44" s="7">
        <f>[5]Summary!$F$14</f>
        <v>50000000</v>
      </c>
      <c r="M44" s="10"/>
      <c r="N44" s="10">
        <f t="shared" si="11"/>
        <v>299325179</v>
      </c>
      <c r="O44" s="8"/>
      <c r="P44" s="40"/>
      <c r="Q44" s="25"/>
      <c r="R44" s="40"/>
      <c r="S44" s="40"/>
      <c r="T44" s="40"/>
      <c r="U44" s="40"/>
      <c r="V44" s="40"/>
    </row>
    <row r="45" spans="1:22" x14ac:dyDescent="0.2">
      <c r="B45" s="11" t="s">
        <v>24</v>
      </c>
      <c r="C45" s="7"/>
      <c r="D45" s="7">
        <f>'[3]WW Spending Total'!I$57</f>
        <v>3208226</v>
      </c>
      <c r="E45" s="10"/>
      <c r="F45" s="7">
        <f>'[3]WW Spending Total'!J$57</f>
        <v>0</v>
      </c>
      <c r="G45" s="10"/>
      <c r="H45" s="7">
        <f>'[3]WW Spending Total'!K$57</f>
        <v>0</v>
      </c>
      <c r="I45" s="10"/>
      <c r="J45" s="7">
        <f>'[3]WW Spending Total'!L$57</f>
        <v>0</v>
      </c>
      <c r="K45" s="10"/>
      <c r="L45" s="7">
        <f>'[3]WW Spending Total'!M$57</f>
        <v>0</v>
      </c>
      <c r="M45" s="10"/>
      <c r="N45" s="10">
        <f t="shared" si="11"/>
        <v>3208226</v>
      </c>
      <c r="O45" s="8"/>
      <c r="P45" s="40"/>
      <c r="Q45" s="25"/>
      <c r="R45" s="40"/>
      <c r="S45" s="40"/>
      <c r="T45" s="40"/>
      <c r="U45" s="40"/>
      <c r="V45" s="40"/>
    </row>
    <row r="46" spans="1:22" x14ac:dyDescent="0.2">
      <c r="B46" s="41" t="s">
        <v>25</v>
      </c>
      <c r="C46" s="7"/>
      <c r="D46" s="12">
        <f>'[3]WW Spending Total'!I$56</f>
        <v>95000000</v>
      </c>
      <c r="E46" s="10"/>
      <c r="F46" s="12">
        <f>'[3]WW Spending Total'!J$56</f>
        <v>22500000</v>
      </c>
      <c r="G46" s="10"/>
      <c r="H46" s="12">
        <f>'[3]WW Spending Total'!K$56</f>
        <v>0</v>
      </c>
      <c r="I46" s="10"/>
      <c r="J46" s="12">
        <f>'[3]WW Spending Total'!L$56</f>
        <v>0</v>
      </c>
      <c r="K46" s="10"/>
      <c r="L46" s="12">
        <f>'[3]WW Spending Total'!M$56</f>
        <v>0</v>
      </c>
      <c r="M46" s="10"/>
      <c r="N46" s="12">
        <f t="shared" si="11"/>
        <v>117500000</v>
      </c>
      <c r="O46" s="8"/>
      <c r="P46" s="40"/>
      <c r="Q46" s="25"/>
      <c r="R46" s="40"/>
      <c r="S46" s="40"/>
      <c r="T46" s="40"/>
      <c r="U46" s="40"/>
      <c r="V46" s="40"/>
    </row>
    <row r="47" spans="1:22" x14ac:dyDescent="0.2">
      <c r="B47" s="2" t="s">
        <v>26</v>
      </c>
      <c r="C47" s="7"/>
      <c r="D47" s="7">
        <f>SUM(D37:D46)</f>
        <v>11567202890</v>
      </c>
      <c r="E47" s="10"/>
      <c r="F47" s="7">
        <f>SUM(F37:F46)</f>
        <v>12101243098</v>
      </c>
      <c r="G47" s="10"/>
      <c r="H47" s="7">
        <f>SUM(H37:H46)</f>
        <v>12779148908</v>
      </c>
      <c r="I47" s="10"/>
      <c r="J47" s="7">
        <f>SUM(J37:J46)</f>
        <v>13896316600</v>
      </c>
      <c r="K47" s="10"/>
      <c r="L47" s="7">
        <f>SUM(L37:L46)</f>
        <v>16741666700</v>
      </c>
      <c r="M47" s="10"/>
      <c r="N47" s="7">
        <f>SUM(N37:N46)</f>
        <v>67085578196</v>
      </c>
      <c r="O47" s="8"/>
      <c r="P47" s="25"/>
      <c r="Q47" s="8"/>
      <c r="R47" s="8"/>
    </row>
    <row r="48" spans="1:22" x14ac:dyDescent="0.2">
      <c r="C48" s="7"/>
      <c r="D48" s="7"/>
      <c r="E48" s="10"/>
      <c r="F48" s="7"/>
      <c r="G48" s="10"/>
      <c r="H48" s="7"/>
      <c r="I48" s="10"/>
      <c r="J48" s="7"/>
      <c r="K48" s="10"/>
      <c r="L48" s="7"/>
      <c r="M48" s="10"/>
      <c r="N48" s="7"/>
      <c r="O48" s="8"/>
      <c r="P48" s="31"/>
    </row>
    <row r="49" spans="1:24" x14ac:dyDescent="0.2">
      <c r="B49" s="2" t="s">
        <v>27</v>
      </c>
      <c r="C49" s="7"/>
      <c r="D49" s="12">
        <f>D31</f>
        <v>160509328.42287695</v>
      </c>
      <c r="E49" s="10"/>
      <c r="F49" s="12">
        <f>F31</f>
        <v>162832936.04235229</v>
      </c>
      <c r="G49" s="10"/>
      <c r="H49" s="12">
        <f>H31</f>
        <v>166932007</v>
      </c>
      <c r="I49" s="10"/>
      <c r="J49" s="12">
        <f>J31</f>
        <v>169491285.71428573</v>
      </c>
      <c r="K49" s="10"/>
      <c r="L49" s="12">
        <f>L31</f>
        <v>120105285.71428572</v>
      </c>
      <c r="M49" s="10"/>
      <c r="N49" s="12">
        <f>SUM(D49:L49)</f>
        <v>779870842.89380074</v>
      </c>
      <c r="P49" s="32"/>
    </row>
    <row r="50" spans="1:24" x14ac:dyDescent="0.2">
      <c r="C50" s="7"/>
      <c r="D50" s="7"/>
      <c r="E50" s="10"/>
      <c r="F50" s="7"/>
      <c r="G50" s="10"/>
      <c r="H50" s="7"/>
      <c r="I50" s="10"/>
      <c r="J50" s="7"/>
      <c r="K50" s="10"/>
      <c r="L50" s="7"/>
      <c r="M50" s="10"/>
      <c r="N50" s="7"/>
      <c r="P50" s="31"/>
    </row>
    <row r="51" spans="1:24" ht="13.5" thickBot="1" x14ac:dyDescent="0.25">
      <c r="A51" s="2" t="s">
        <v>28</v>
      </c>
      <c r="C51" s="7"/>
      <c r="D51" s="27">
        <f>D49+D47</f>
        <v>11727712218.422876</v>
      </c>
      <c r="E51" s="10"/>
      <c r="F51" s="27">
        <f>F49+F47</f>
        <v>12264076034.042353</v>
      </c>
      <c r="G51" s="10"/>
      <c r="H51" s="27">
        <f>H49+H47</f>
        <v>12946080915</v>
      </c>
      <c r="I51" s="10"/>
      <c r="J51" s="27">
        <f>J49+J47</f>
        <v>14065807885.714285</v>
      </c>
      <c r="K51" s="10"/>
      <c r="L51" s="27">
        <f>L49+L47</f>
        <v>16861771985.714285</v>
      </c>
      <c r="M51" s="10"/>
      <c r="N51" s="27">
        <f>N49+N47</f>
        <v>67865449038.893799</v>
      </c>
      <c r="P51" s="25"/>
      <c r="R51" s="28"/>
    </row>
    <row r="52" spans="1:24" x14ac:dyDescent="0.2">
      <c r="C52" s="7"/>
      <c r="D52" s="8"/>
      <c r="E52" s="25"/>
      <c r="F52" s="8"/>
      <c r="G52" s="25"/>
      <c r="H52" s="8"/>
      <c r="I52" s="25"/>
      <c r="J52" s="8"/>
      <c r="K52" s="25"/>
      <c r="L52" s="8"/>
      <c r="M52" s="25"/>
      <c r="N52" s="8"/>
      <c r="P52" s="24"/>
      <c r="R52" s="8"/>
    </row>
    <row r="53" spans="1:24" x14ac:dyDescent="0.2">
      <c r="A53" s="2" t="s">
        <v>29</v>
      </c>
      <c r="C53" s="7"/>
      <c r="D53" s="20"/>
      <c r="E53" s="43"/>
      <c r="F53" s="20"/>
      <c r="G53" s="43"/>
      <c r="H53" s="20"/>
      <c r="I53" s="43"/>
      <c r="J53" s="20"/>
      <c r="K53" s="43"/>
      <c r="L53" s="20"/>
      <c r="M53" s="43"/>
      <c r="N53" s="10"/>
    </row>
    <row r="54" spans="1:24" x14ac:dyDescent="0.2">
      <c r="B54" s="2" t="s">
        <v>10</v>
      </c>
      <c r="C54" s="7"/>
      <c r="D54" s="23">
        <f t="shared" ref="D54:D59" si="13">ROUND((D37/D5),2)</f>
        <v>292.52</v>
      </c>
      <c r="E54" s="48"/>
      <c r="F54" s="23">
        <f t="shared" ref="F54:F59" si="14">ROUND((F37/F5),2)</f>
        <v>310.68</v>
      </c>
      <c r="G54" s="48"/>
      <c r="H54" s="23">
        <f t="shared" ref="H54:H59" si="15">ROUND((H37/H5),2)</f>
        <v>316.02</v>
      </c>
      <c r="I54" s="48"/>
      <c r="J54" s="23">
        <f>ROUND((H54*(1+$P$2)),2)</f>
        <v>328.66</v>
      </c>
      <c r="K54" s="48"/>
      <c r="L54" s="23">
        <f>L37/L5</f>
        <v>389.8346235378969</v>
      </c>
      <c r="M54" s="48"/>
      <c r="N54" s="13"/>
      <c r="O54" s="13"/>
      <c r="P54" s="23">
        <f>ROUND((J54*(1+$P$2)),2)</f>
        <v>341.81</v>
      </c>
      <c r="Q54" s="13"/>
      <c r="R54" s="13"/>
      <c r="S54" s="13"/>
      <c r="T54" s="13"/>
      <c r="U54" s="13"/>
      <c r="V54" s="13"/>
      <c r="W54" s="13"/>
      <c r="X54" s="13"/>
    </row>
    <row r="55" spans="1:24" x14ac:dyDescent="0.2">
      <c r="B55" s="2" t="s">
        <v>11</v>
      </c>
      <c r="C55" s="7"/>
      <c r="D55" s="23">
        <f t="shared" si="13"/>
        <v>877.17</v>
      </c>
      <c r="E55" s="48"/>
      <c r="F55" s="23">
        <f t="shared" si="14"/>
        <v>911.09</v>
      </c>
      <c r="G55" s="48"/>
      <c r="H55" s="23">
        <f t="shared" si="15"/>
        <v>918.75</v>
      </c>
      <c r="I55" s="48"/>
      <c r="J55" s="23">
        <f t="shared" ref="J55:J59" si="16">ROUND((H55*(1+$P$2)),2)</f>
        <v>955.5</v>
      </c>
      <c r="K55" s="48"/>
      <c r="L55" s="23">
        <f t="shared" ref="L55:L59" si="17">L38/L6</f>
        <v>1127.5011411942014</v>
      </c>
      <c r="M55" s="48"/>
      <c r="N55" s="13"/>
      <c r="O55" s="13"/>
      <c r="P55" s="23">
        <f t="shared" ref="P55:P59" si="18">ROUND((J55*(1+$P$2)),2)</f>
        <v>993.72</v>
      </c>
      <c r="Q55" s="13"/>
      <c r="R55" s="13"/>
      <c r="S55" s="13"/>
      <c r="T55" s="13"/>
      <c r="U55" s="13"/>
      <c r="V55" s="13"/>
      <c r="W55" s="13"/>
      <c r="X55" s="13"/>
    </row>
    <row r="56" spans="1:24" x14ac:dyDescent="0.2">
      <c r="B56" s="2" t="s">
        <v>13</v>
      </c>
      <c r="C56" s="7"/>
      <c r="D56" s="23">
        <f t="shared" si="13"/>
        <v>3830.26</v>
      </c>
      <c r="E56" s="48"/>
      <c r="F56" s="23">
        <f t="shared" si="14"/>
        <v>3895.74</v>
      </c>
      <c r="G56" s="48"/>
      <c r="H56" s="23">
        <f t="shared" si="15"/>
        <v>4023.26</v>
      </c>
      <c r="I56" s="48"/>
      <c r="J56" s="23">
        <f t="shared" si="16"/>
        <v>4184.1899999999996</v>
      </c>
      <c r="K56" s="48"/>
      <c r="L56" s="23">
        <f t="shared" si="17"/>
        <v>4468.2704627096018</v>
      </c>
      <c r="M56" s="48"/>
      <c r="N56" s="13"/>
      <c r="O56" s="13"/>
      <c r="P56" s="23">
        <f t="shared" si="18"/>
        <v>4351.5600000000004</v>
      </c>
      <c r="Q56" s="13"/>
      <c r="R56" s="13"/>
      <c r="S56" s="13"/>
      <c r="T56" s="13"/>
      <c r="U56" s="13"/>
      <c r="V56" s="13"/>
      <c r="W56" s="13"/>
      <c r="X56" s="13"/>
    </row>
    <row r="57" spans="1:24" x14ac:dyDescent="0.2">
      <c r="B57" s="2" t="s">
        <v>14</v>
      </c>
      <c r="C57" s="7"/>
      <c r="D57" s="23">
        <f t="shared" si="13"/>
        <v>3764.78</v>
      </c>
      <c r="E57" s="48"/>
      <c r="F57" s="23">
        <f t="shared" si="14"/>
        <v>4075.26</v>
      </c>
      <c r="G57" s="48"/>
      <c r="H57" s="23">
        <f t="shared" si="15"/>
        <v>4469.58</v>
      </c>
      <c r="I57" s="48"/>
      <c r="J57" s="23">
        <f t="shared" si="16"/>
        <v>4648.3599999999997</v>
      </c>
      <c r="K57" s="48"/>
      <c r="L57" s="23">
        <f t="shared" si="17"/>
        <v>4954.5693135935398</v>
      </c>
      <c r="M57" s="48"/>
      <c r="N57" s="13"/>
      <c r="O57" s="13"/>
      <c r="P57" s="23">
        <f t="shared" si="18"/>
        <v>4834.29</v>
      </c>
      <c r="Q57" s="13"/>
      <c r="R57" s="13"/>
      <c r="S57" s="13"/>
      <c r="T57" s="13"/>
      <c r="U57" s="13"/>
      <c r="V57" s="13"/>
      <c r="W57" s="13"/>
      <c r="X57" s="13"/>
    </row>
    <row r="58" spans="1:24" x14ac:dyDescent="0.2">
      <c r="B58" s="2" t="s">
        <v>57</v>
      </c>
      <c r="C58" s="7"/>
      <c r="D58" s="23">
        <f t="shared" si="13"/>
        <v>344.8</v>
      </c>
      <c r="E58" s="48"/>
      <c r="F58" s="23">
        <f t="shared" si="14"/>
        <v>358.51</v>
      </c>
      <c r="G58" s="48"/>
      <c r="H58" s="23">
        <f t="shared" si="15"/>
        <v>362.24</v>
      </c>
      <c r="I58" s="48"/>
      <c r="J58" s="23">
        <f t="shared" ref="J58" si="19">ROUND((H58*(1+$P$2)),2)</f>
        <v>376.73</v>
      </c>
      <c r="K58" s="48"/>
      <c r="L58" s="23">
        <f t="shared" si="17"/>
        <v>441.57527391897287</v>
      </c>
      <c r="M58" s="48"/>
      <c r="N58" s="13"/>
      <c r="O58" s="13"/>
      <c r="P58" s="23">
        <f t="shared" si="18"/>
        <v>391.8</v>
      </c>
      <c r="Q58" s="13"/>
      <c r="R58" s="13"/>
      <c r="S58" s="13"/>
      <c r="T58" s="13"/>
      <c r="U58" s="13"/>
      <c r="V58" s="13"/>
      <c r="W58" s="13"/>
      <c r="X58" s="13"/>
    </row>
    <row r="59" spans="1:24" x14ac:dyDescent="0.2">
      <c r="B59" s="11" t="s">
        <v>16</v>
      </c>
      <c r="C59" s="7"/>
      <c r="D59" s="23">
        <f t="shared" si="13"/>
        <v>600.67999999999995</v>
      </c>
      <c r="E59" s="48"/>
      <c r="F59" s="23">
        <f t="shared" si="14"/>
        <v>649.52</v>
      </c>
      <c r="G59" s="48"/>
      <c r="H59" s="23">
        <f t="shared" si="15"/>
        <v>713.12</v>
      </c>
      <c r="I59" s="48"/>
      <c r="J59" s="23">
        <f t="shared" si="16"/>
        <v>741.64</v>
      </c>
      <c r="K59" s="48"/>
      <c r="L59" s="23">
        <f t="shared" si="17"/>
        <v>877.79360067460595</v>
      </c>
      <c r="M59" s="48"/>
      <c r="N59" s="13"/>
      <c r="O59" s="13"/>
      <c r="P59" s="23">
        <f t="shared" si="18"/>
        <v>771.31</v>
      </c>
      <c r="Q59" s="13"/>
      <c r="R59" s="13"/>
      <c r="S59" s="13"/>
      <c r="T59" s="13"/>
      <c r="U59" s="13"/>
      <c r="V59" s="13"/>
      <c r="W59" s="13"/>
      <c r="X59" s="13"/>
    </row>
    <row r="60" spans="1:24" x14ac:dyDescent="0.2">
      <c r="C60" s="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23"/>
      <c r="O60" s="13"/>
      <c r="P60" s="7"/>
    </row>
    <row r="61" spans="1:24" x14ac:dyDescent="0.2">
      <c r="C61" s="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23"/>
      <c r="O61" s="13"/>
      <c r="P61" s="7"/>
    </row>
    <row r="62" spans="1:24" x14ac:dyDescent="0.2">
      <c r="A62" s="1" t="s">
        <v>40</v>
      </c>
      <c r="C62" s="33">
        <f>'AHCCCS 2012-2016'!N65</f>
        <v>29327890564.708603</v>
      </c>
      <c r="D62" s="7"/>
      <c r="E62" s="10"/>
      <c r="F62" s="7"/>
      <c r="G62" s="10"/>
      <c r="H62" s="7"/>
      <c r="I62" s="10"/>
      <c r="J62" s="7"/>
      <c r="K62" s="10"/>
      <c r="L62" s="7"/>
      <c r="M62" s="10"/>
      <c r="N62" s="7"/>
      <c r="O62" s="8"/>
      <c r="P62" s="7"/>
    </row>
    <row r="63" spans="1:24" x14ac:dyDescent="0.2">
      <c r="A63" s="1" t="s">
        <v>41</v>
      </c>
      <c r="C63" s="7"/>
      <c r="D63" s="7">
        <f>D34-D51</f>
        <v>8447297201.0799999</v>
      </c>
      <c r="E63" s="10"/>
      <c r="F63" s="7">
        <f>F34-F51</f>
        <v>8546702749.6399975</v>
      </c>
      <c r="G63" s="10"/>
      <c r="H63" s="7">
        <f>H34-H51</f>
        <v>8978608612.2999992</v>
      </c>
      <c r="I63" s="10"/>
      <c r="J63" s="7">
        <f>J34-J51</f>
        <v>9958272300.0000019</v>
      </c>
      <c r="K63" s="10"/>
      <c r="L63" s="7">
        <f>L34-L51</f>
        <v>9704858900.0000019</v>
      </c>
      <c r="M63" s="10"/>
      <c r="N63" s="33"/>
      <c r="O63" s="33"/>
      <c r="P63" s="29"/>
      <c r="Q63" s="34"/>
    </row>
    <row r="64" spans="1:24" x14ac:dyDescent="0.2">
      <c r="A64" s="1" t="s">
        <v>42</v>
      </c>
      <c r="C64" s="7"/>
      <c r="D64" s="7">
        <f>D63*0.25</f>
        <v>2111824300.27</v>
      </c>
      <c r="E64" s="10"/>
      <c r="F64" s="7">
        <f>F63*0.25</f>
        <v>2136675687.4099994</v>
      </c>
      <c r="G64" s="10"/>
      <c r="H64" s="7">
        <f>H63*0.25</f>
        <v>2244652153.0749998</v>
      </c>
      <c r="I64" s="10"/>
      <c r="J64" s="7">
        <f>J63*0.25</f>
        <v>2489568075.0000005</v>
      </c>
      <c r="K64" s="10"/>
      <c r="L64" s="7">
        <f>L63*0.25</f>
        <v>2426214725.0000005</v>
      </c>
      <c r="M64" s="10"/>
      <c r="N64" s="33"/>
      <c r="O64" s="33"/>
      <c r="P64" s="29"/>
      <c r="Q64" s="34"/>
      <c r="R64" s="8"/>
    </row>
    <row r="65" spans="1:17" x14ac:dyDescent="0.2">
      <c r="A65" s="1" t="s">
        <v>43</v>
      </c>
      <c r="C65" s="7"/>
      <c r="D65" s="8">
        <f>C62+D64</f>
        <v>31439714864.978603</v>
      </c>
      <c r="E65" s="25"/>
      <c r="F65" s="8">
        <f>D65+F64</f>
        <v>33576390552.388603</v>
      </c>
      <c r="G65" s="25"/>
      <c r="H65" s="8">
        <f>F65+H64</f>
        <v>35821042705.4636</v>
      </c>
      <c r="I65" s="25"/>
      <c r="J65" s="8">
        <f>H65+J64</f>
        <v>38310610780.4636</v>
      </c>
      <c r="K65" s="25"/>
      <c r="L65" s="8">
        <f>J65+L64</f>
        <v>40736825505.4636</v>
      </c>
      <c r="M65" s="25"/>
      <c r="N65" s="35">
        <f>L65</f>
        <v>40736825505.4636</v>
      </c>
      <c r="O65" s="35"/>
      <c r="P65" s="7"/>
      <c r="Q65" s="8"/>
    </row>
    <row r="66" spans="1:17" x14ac:dyDescent="0.2">
      <c r="A66" s="1"/>
      <c r="C66" s="7"/>
      <c r="D66" s="8"/>
      <c r="E66" s="25"/>
      <c r="F66" s="8"/>
      <c r="G66" s="25"/>
      <c r="H66" s="8"/>
      <c r="I66" s="25"/>
      <c r="J66" s="8"/>
      <c r="K66" s="25"/>
      <c r="L66" s="8"/>
      <c r="M66" s="25"/>
      <c r="N66" s="8"/>
      <c r="O66" s="8"/>
      <c r="P66" s="7"/>
    </row>
    <row r="67" spans="1:17" x14ac:dyDescent="0.2">
      <c r="A67" s="11" t="s">
        <v>32</v>
      </c>
      <c r="C67" s="7"/>
      <c r="D67" s="8"/>
      <c r="E67" s="25"/>
      <c r="F67" s="8"/>
      <c r="G67" s="25"/>
      <c r="H67" s="8"/>
      <c r="I67" s="25"/>
      <c r="J67" s="8"/>
      <c r="K67" s="25"/>
      <c r="L67" s="8"/>
      <c r="M67" s="25"/>
      <c r="N67" s="8"/>
      <c r="O67" s="8"/>
      <c r="P67" s="7"/>
    </row>
    <row r="68" spans="1:17" x14ac:dyDescent="0.2">
      <c r="A68" s="1"/>
      <c r="B68" s="2" t="s">
        <v>10</v>
      </c>
      <c r="C68" s="7"/>
      <c r="D68" s="7">
        <f t="shared" ref="D68:D73" si="20">D23-D37</f>
        <v>6156070606.5400009</v>
      </c>
      <c r="E68" s="10"/>
      <c r="F68" s="7">
        <f t="shared" ref="F68:F73" si="21">F23-F37</f>
        <v>6098962862.8400002</v>
      </c>
      <c r="G68" s="10"/>
      <c r="H68" s="7">
        <f t="shared" ref="H68:H73" si="22">H23-H37</f>
        <v>6358003991.1999989</v>
      </c>
      <c r="I68" s="10"/>
      <c r="J68" s="7">
        <f t="shared" ref="J68:J73" si="23">J23-J37</f>
        <v>7174506000</v>
      </c>
      <c r="K68" s="10"/>
      <c r="L68" s="7">
        <f t="shared" ref="L68:L73" si="24">L23-L37</f>
        <v>7071037200</v>
      </c>
      <c r="M68" s="10"/>
      <c r="N68" s="7">
        <f t="shared" ref="N68:N77" si="25">SUM(D68:L68)</f>
        <v>32858580660.580002</v>
      </c>
      <c r="O68" s="7"/>
      <c r="P68" s="7"/>
    </row>
    <row r="69" spans="1:17" x14ac:dyDescent="0.2">
      <c r="A69" s="1"/>
      <c r="B69" s="2" t="s">
        <v>11</v>
      </c>
      <c r="C69" s="7"/>
      <c r="D69" s="7">
        <f t="shared" si="20"/>
        <v>639541997.11999989</v>
      </c>
      <c r="E69" s="10"/>
      <c r="F69" s="7">
        <f t="shared" si="21"/>
        <v>677850415.25999975</v>
      </c>
      <c r="G69" s="10"/>
      <c r="H69" s="7">
        <f t="shared" si="22"/>
        <v>775590272.54000044</v>
      </c>
      <c r="I69" s="10"/>
      <c r="J69" s="7">
        <f t="shared" si="23"/>
        <v>799522900</v>
      </c>
      <c r="K69" s="10"/>
      <c r="L69" s="7">
        <f t="shared" si="24"/>
        <v>567371900</v>
      </c>
      <c r="M69" s="10"/>
      <c r="N69" s="7">
        <f t="shared" si="25"/>
        <v>3459877484.9200001</v>
      </c>
      <c r="O69" s="7"/>
      <c r="P69" s="7"/>
    </row>
    <row r="70" spans="1:17" x14ac:dyDescent="0.2">
      <c r="A70" s="1"/>
      <c r="B70" s="2" t="s">
        <v>13</v>
      </c>
      <c r="C70" s="7"/>
      <c r="D70" s="7">
        <f t="shared" si="20"/>
        <v>791721077.81999969</v>
      </c>
      <c r="E70" s="10"/>
      <c r="F70" s="7">
        <f t="shared" si="21"/>
        <v>864995640.05999994</v>
      </c>
      <c r="G70" s="10"/>
      <c r="H70" s="7">
        <f t="shared" si="22"/>
        <v>939319430.35999966</v>
      </c>
      <c r="I70" s="10"/>
      <c r="J70" s="7">
        <f t="shared" si="23"/>
        <v>949132800</v>
      </c>
      <c r="K70" s="10"/>
      <c r="L70" s="7">
        <f t="shared" si="24"/>
        <v>930877600</v>
      </c>
      <c r="M70" s="10"/>
      <c r="N70" s="7">
        <f t="shared" si="25"/>
        <v>4476046548.2399998</v>
      </c>
      <c r="O70" s="7"/>
      <c r="P70" s="7"/>
    </row>
    <row r="71" spans="1:17" x14ac:dyDescent="0.2">
      <c r="A71" s="1"/>
      <c r="B71" s="2" t="s">
        <v>14</v>
      </c>
      <c r="C71" s="7"/>
      <c r="D71" s="7">
        <f t="shared" si="20"/>
        <v>990662297.5999999</v>
      </c>
      <c r="E71" s="10"/>
      <c r="F71" s="7">
        <f t="shared" si="21"/>
        <v>1018531431.48</v>
      </c>
      <c r="G71" s="10"/>
      <c r="H71" s="7">
        <f t="shared" si="22"/>
        <v>1023001018.2000003</v>
      </c>
      <c r="I71" s="10"/>
      <c r="J71" s="7">
        <f t="shared" si="23"/>
        <v>1126085600</v>
      </c>
      <c r="K71" s="10"/>
      <c r="L71" s="7">
        <f t="shared" si="24"/>
        <v>1200563200</v>
      </c>
      <c r="M71" s="10"/>
      <c r="N71" s="7">
        <f t="shared" si="25"/>
        <v>5358843547.2800007</v>
      </c>
      <c r="O71" s="7"/>
      <c r="P71" s="7"/>
    </row>
    <row r="72" spans="1:17" x14ac:dyDescent="0.2">
      <c r="A72" s="1"/>
      <c r="B72" s="2" t="s">
        <v>57</v>
      </c>
      <c r="C72" s="7"/>
      <c r="D72" s="7">
        <f t="shared" si="20"/>
        <v>0</v>
      </c>
      <c r="E72" s="10"/>
      <c r="F72" s="7">
        <f t="shared" si="21"/>
        <v>0</v>
      </c>
      <c r="G72" s="10"/>
      <c r="H72" s="7">
        <f t="shared" si="22"/>
        <v>0</v>
      </c>
      <c r="I72" s="10"/>
      <c r="J72" s="7">
        <f t="shared" si="23"/>
        <v>0</v>
      </c>
      <c r="K72" s="10"/>
      <c r="L72" s="7">
        <f t="shared" si="24"/>
        <v>0</v>
      </c>
      <c r="M72" s="10"/>
      <c r="N72" s="7">
        <f t="shared" ref="N72" si="26">SUM(D72:L72)</f>
        <v>0</v>
      </c>
      <c r="O72" s="7"/>
      <c r="P72" s="7"/>
    </row>
    <row r="73" spans="1:17" x14ac:dyDescent="0.2">
      <c r="A73" s="1"/>
      <c r="B73" s="11" t="s">
        <v>16</v>
      </c>
      <c r="C73" s="7"/>
      <c r="D73" s="7">
        <f t="shared" si="20"/>
        <v>0</v>
      </c>
      <c r="E73" s="10"/>
      <c r="F73" s="7">
        <f t="shared" si="21"/>
        <v>0</v>
      </c>
      <c r="G73" s="10"/>
      <c r="H73" s="7">
        <f t="shared" si="22"/>
        <v>0</v>
      </c>
      <c r="I73" s="10"/>
      <c r="J73" s="7">
        <f t="shared" si="23"/>
        <v>0</v>
      </c>
      <c r="K73" s="10"/>
      <c r="L73" s="7">
        <f t="shared" si="24"/>
        <v>0</v>
      </c>
      <c r="M73" s="10"/>
      <c r="N73" s="10">
        <f t="shared" si="25"/>
        <v>0</v>
      </c>
      <c r="O73" s="7"/>
      <c r="P73" s="7"/>
    </row>
    <row r="74" spans="1:17" x14ac:dyDescent="0.2">
      <c r="A74" s="1"/>
      <c r="B74" s="41" t="s">
        <v>44</v>
      </c>
      <c r="C74" s="7"/>
      <c r="D74" s="7">
        <f>-D43</f>
        <v>-13165373</v>
      </c>
      <c r="E74" s="10"/>
      <c r="F74" s="7">
        <f>-F43</f>
        <v>-21137600</v>
      </c>
      <c r="G74" s="10"/>
      <c r="H74" s="7">
        <f>-H43</f>
        <v>-27306100</v>
      </c>
      <c r="I74" s="10"/>
      <c r="J74" s="7">
        <f>-J43</f>
        <v>-20975000</v>
      </c>
      <c r="K74" s="10"/>
      <c r="L74" s="7">
        <f>-L43</f>
        <v>-14991000</v>
      </c>
      <c r="M74" s="10"/>
      <c r="N74" s="7">
        <f t="shared" si="25"/>
        <v>-97575073</v>
      </c>
      <c r="O74" s="7"/>
      <c r="P74" s="7"/>
    </row>
    <row r="75" spans="1:17" x14ac:dyDescent="0.2">
      <c r="A75" s="1"/>
      <c r="B75" s="41" t="s">
        <v>45</v>
      </c>
      <c r="C75" s="7"/>
      <c r="D75" s="7">
        <f>-D44</f>
        <v>-19325179</v>
      </c>
      <c r="E75" s="10"/>
      <c r="F75" s="7">
        <f>-F44</f>
        <v>-70000000</v>
      </c>
      <c r="G75" s="10"/>
      <c r="H75" s="7">
        <f>-H44</f>
        <v>-90000000</v>
      </c>
      <c r="I75" s="10"/>
      <c r="J75" s="7">
        <f>-J44</f>
        <v>-70000000</v>
      </c>
      <c r="K75" s="10"/>
      <c r="L75" s="7">
        <f>-L44</f>
        <v>-50000000</v>
      </c>
      <c r="M75" s="10"/>
      <c r="N75" s="7">
        <f t="shared" si="25"/>
        <v>-299325179</v>
      </c>
      <c r="O75" s="7"/>
      <c r="P75" s="7"/>
    </row>
    <row r="76" spans="1:17" x14ac:dyDescent="0.2">
      <c r="A76" s="1"/>
      <c r="B76" s="11" t="s">
        <v>24</v>
      </c>
      <c r="C76" s="7"/>
      <c r="D76" s="7">
        <f>-D45</f>
        <v>-3208226</v>
      </c>
      <c r="E76" s="10"/>
      <c r="F76" s="7">
        <f>-F45</f>
        <v>0</v>
      </c>
      <c r="G76" s="10"/>
      <c r="H76" s="7">
        <f>-H45</f>
        <v>0</v>
      </c>
      <c r="I76" s="10"/>
      <c r="J76" s="7">
        <f>-J45</f>
        <v>0</v>
      </c>
      <c r="K76" s="10"/>
      <c r="L76" s="7">
        <f>-L45</f>
        <v>0</v>
      </c>
      <c r="M76" s="10"/>
      <c r="N76" s="10">
        <f t="shared" si="25"/>
        <v>-3208226</v>
      </c>
      <c r="O76" s="7"/>
      <c r="P76" s="7"/>
    </row>
    <row r="77" spans="1:17" x14ac:dyDescent="0.2">
      <c r="A77" s="1"/>
      <c r="B77" s="41" t="s">
        <v>25</v>
      </c>
      <c r="C77" s="7"/>
      <c r="D77" s="12">
        <f>-D46</f>
        <v>-95000000</v>
      </c>
      <c r="E77" s="10"/>
      <c r="F77" s="12">
        <f>-F46</f>
        <v>-22500000</v>
      </c>
      <c r="G77" s="10"/>
      <c r="H77" s="12">
        <f>-H46</f>
        <v>0</v>
      </c>
      <c r="I77" s="10"/>
      <c r="J77" s="12">
        <f>-J46</f>
        <v>0</v>
      </c>
      <c r="K77" s="10"/>
      <c r="L77" s="12">
        <f>-L46</f>
        <v>0</v>
      </c>
      <c r="M77" s="10"/>
      <c r="N77" s="12">
        <f t="shared" si="25"/>
        <v>-117500000</v>
      </c>
      <c r="O77" s="7"/>
      <c r="P77" s="7"/>
    </row>
    <row r="78" spans="1:17" x14ac:dyDescent="0.2">
      <c r="A78" s="1"/>
      <c r="C78" s="7"/>
      <c r="D78" s="7">
        <f>SUM(D68:D77)</f>
        <v>8447297201.0799999</v>
      </c>
      <c r="E78" s="10"/>
      <c r="F78" s="7">
        <f>SUM(F68:F77)</f>
        <v>8546702749.6399994</v>
      </c>
      <c r="G78" s="10"/>
      <c r="H78" s="7">
        <f>SUM(H68:H77)</f>
        <v>8978608612.2999992</v>
      </c>
      <c r="I78" s="10"/>
      <c r="J78" s="7">
        <f>SUM(J68:J77)</f>
        <v>9958272300</v>
      </c>
      <c r="K78" s="10"/>
      <c r="L78" s="7">
        <f>SUM(L68:L77)</f>
        <v>9704858900</v>
      </c>
      <c r="M78" s="10"/>
      <c r="N78" s="7">
        <f>SUM(N68:N77)</f>
        <v>45635739763.019997</v>
      </c>
      <c r="O78" s="7"/>
      <c r="P78" s="7"/>
    </row>
    <row r="79" spans="1:17" x14ac:dyDescent="0.2">
      <c r="A79" s="11"/>
      <c r="C79" s="7"/>
      <c r="D79" s="8"/>
      <c r="E79" s="25"/>
      <c r="F79" s="8"/>
      <c r="G79" s="25"/>
      <c r="H79" s="8"/>
      <c r="I79" s="25"/>
      <c r="J79" s="8"/>
      <c r="K79" s="25"/>
      <c r="L79" s="8"/>
      <c r="M79" s="25"/>
      <c r="N79" s="8"/>
      <c r="P79" s="8"/>
    </row>
    <row r="80" spans="1:17" x14ac:dyDescent="0.2">
      <c r="A80" s="1"/>
      <c r="C80" s="36"/>
      <c r="D80" s="36"/>
      <c r="E80" s="49"/>
      <c r="F80" s="36"/>
      <c r="G80" s="49"/>
      <c r="H80" s="36"/>
      <c r="I80" s="49"/>
      <c r="J80" s="36"/>
      <c r="K80" s="49"/>
      <c r="L80" s="36"/>
      <c r="M80" s="49"/>
      <c r="N80" s="7"/>
      <c r="P80" s="8"/>
    </row>
    <row r="81" spans="1:16" hidden="1" x14ac:dyDescent="0.2">
      <c r="A81" s="1"/>
      <c r="C81" s="36"/>
      <c r="D81" s="23">
        <f>SUM(D37:D42)/D11</f>
        <v>529.06437137978583</v>
      </c>
      <c r="E81" s="36"/>
      <c r="F81" s="23">
        <f>SUM(F37:F42)/F11</f>
        <v>571.16103583472113</v>
      </c>
      <c r="G81" s="36"/>
      <c r="H81" s="23">
        <f>SUM(H37:H42)/H11</f>
        <v>606.94038416802573</v>
      </c>
      <c r="I81" s="36"/>
      <c r="J81" s="23">
        <f>SUM(J37:J42)/J11</f>
        <v>621.53536822414344</v>
      </c>
      <c r="K81" s="36"/>
      <c r="L81" s="23">
        <f>SUM(L37:L42)/L11</f>
        <v>718.54147075722358</v>
      </c>
      <c r="M81" s="36"/>
      <c r="N81" s="36"/>
      <c r="P81" s="8"/>
    </row>
    <row r="82" spans="1:16" hidden="1" x14ac:dyDescent="0.2">
      <c r="A82" s="1"/>
      <c r="C82" s="36"/>
      <c r="D82" s="36">
        <f>D81/'AHCCCS 2012-2016'!L81-1</f>
        <v>-1.0258278963606982E-2</v>
      </c>
      <c r="E82" s="36"/>
      <c r="F82" s="36">
        <f>F81/D81-1</f>
        <v>7.9568133354261494E-2</v>
      </c>
      <c r="G82" s="36"/>
      <c r="H82" s="36">
        <f>H81/F81-1</f>
        <v>6.2643188327815569E-2</v>
      </c>
      <c r="I82" s="36"/>
      <c r="J82" s="36">
        <f>J81/H81-1</f>
        <v>2.4046816519095238E-2</v>
      </c>
      <c r="K82" s="36"/>
      <c r="L82" s="36">
        <f>L81/J81-1</f>
        <v>0.15607495163187068</v>
      </c>
      <c r="M82" s="36"/>
      <c r="N82" s="36">
        <f>AVERAGE(D82:L82)</f>
        <v>6.2414962173887201E-2</v>
      </c>
      <c r="P82" s="8"/>
    </row>
    <row r="83" spans="1:16" x14ac:dyDescent="0.2">
      <c r="A83" s="1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P83" s="8"/>
    </row>
    <row r="84" spans="1:16" x14ac:dyDescent="0.2">
      <c r="A84" s="1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P84" s="8"/>
    </row>
    <row r="85" spans="1:16" x14ac:dyDescent="0.2"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6" x14ac:dyDescent="0.2"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8"/>
    </row>
    <row r="87" spans="1:16" x14ac:dyDescent="0.2"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</row>
    <row r="88" spans="1:16" x14ac:dyDescent="0.2"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</row>
    <row r="89" spans="1:16" x14ac:dyDescent="0.2"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</row>
    <row r="90" spans="1:16" x14ac:dyDescent="0.2"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</row>
    <row r="93" spans="1:16" hidden="1" x14ac:dyDescent="0.2">
      <c r="A93" s="2" t="s">
        <v>33</v>
      </c>
      <c r="C93" s="7"/>
      <c r="D93" s="7" t="e">
        <f>#REF!</f>
        <v>#REF!</v>
      </c>
      <c r="E93" s="7"/>
      <c r="F93" s="7" t="e">
        <f>#REF!</f>
        <v>#REF!</v>
      </c>
      <c r="G93" s="7"/>
      <c r="H93" s="7" t="e">
        <f>#REF!+#REF!</f>
        <v>#REF!</v>
      </c>
      <c r="I93" s="7"/>
      <c r="J93" s="7"/>
      <c r="K93" s="7"/>
      <c r="L93" s="7"/>
      <c r="M93" s="7"/>
      <c r="N93" s="8"/>
    </row>
    <row r="94" spans="1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6" x14ac:dyDescent="0.2"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6" hidden="1" x14ac:dyDescent="0.2">
      <c r="A96" s="2">
        <v>1</v>
      </c>
      <c r="D96" s="7"/>
      <c r="E96" s="7"/>
      <c r="F96" s="7"/>
      <c r="G96" s="7"/>
      <c r="H96" s="7"/>
      <c r="I96" s="7"/>
      <c r="J96" s="7"/>
      <c r="K96" s="7"/>
      <c r="L96" s="7"/>
      <c r="M96" s="7"/>
    </row>
    <row r="100" spans="4:13" x14ac:dyDescent="0.2"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4:13" x14ac:dyDescent="0.2">
      <c r="D101" s="20"/>
      <c r="E101" s="20"/>
      <c r="F101" s="20"/>
      <c r="G101" s="20"/>
      <c r="H101" s="20"/>
      <c r="I101" s="20"/>
      <c r="J101" s="20"/>
      <c r="K101" s="20"/>
      <c r="L101" s="20"/>
      <c r="M101" s="20"/>
    </row>
    <row r="102" spans="4:13" x14ac:dyDescent="0.2">
      <c r="D102" s="20"/>
      <c r="E102" s="20"/>
      <c r="F102" s="20"/>
      <c r="G102" s="20"/>
      <c r="H102" s="20"/>
      <c r="I102" s="20"/>
      <c r="J102" s="20"/>
      <c r="K102" s="20"/>
      <c r="L102" s="20"/>
      <c r="M102" s="20"/>
    </row>
    <row r="103" spans="4:13" x14ac:dyDescent="0.2">
      <c r="D103" s="20"/>
      <c r="E103" s="20"/>
      <c r="F103" s="20"/>
      <c r="G103" s="20"/>
      <c r="H103" s="20"/>
      <c r="I103" s="20"/>
      <c r="J103" s="20"/>
      <c r="K103" s="20"/>
      <c r="L103" s="20"/>
      <c r="M103" s="20"/>
    </row>
    <row r="104" spans="4:13" x14ac:dyDescent="0.2">
      <c r="D104" s="20"/>
      <c r="E104" s="20"/>
      <c r="F104" s="20"/>
      <c r="G104" s="20"/>
      <c r="H104" s="20"/>
      <c r="I104" s="20"/>
      <c r="J104" s="20"/>
      <c r="K104" s="20"/>
      <c r="L104" s="20"/>
      <c r="M104" s="20"/>
    </row>
    <row r="114" spans="4:13" x14ac:dyDescent="0.2"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4:13" x14ac:dyDescent="0.2"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4:13" x14ac:dyDescent="0.2"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4:13" x14ac:dyDescent="0.2"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4:13" x14ac:dyDescent="0.2">
      <c r="D118" s="8"/>
      <c r="E118" s="8"/>
      <c r="F118" s="8"/>
      <c r="G118" s="8"/>
      <c r="H118" s="8"/>
      <c r="I118" s="8"/>
      <c r="J118" s="8"/>
      <c r="K118" s="8"/>
      <c r="L118" s="8"/>
      <c r="M118" s="8"/>
    </row>
  </sheetData>
  <printOptions horizontalCentered="1"/>
  <pageMargins left="0.7" right="0.7" top="1.25" bottom="0.5" header="0.3" footer="0.3"/>
  <pageSetup scale="62" orientation="portrait" r:id="rId1"/>
  <headerFooter alignWithMargins="0">
    <oddHeader xml:space="preserve">&amp;C&amp;"Arial,Bold"Arizona Health Care Cost Containment System
Budget Neutrality Status by Federal Fiscal Year
Total Funds - All Populations
For the Period October 1, 2016 - September 30, 2021
Updated 9/20
</oddHeader>
    <oddFooter>&amp;L&amp;8 DBF  &amp;D    &amp;T&amp;R&amp;8S:\BUD\SHARE\FY22 Prog\Budget Neutrality - Waiver Updates\2012-2026 BN Update - Future Model - Initial Public Notice.xlsx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13"/>
  <sheetViews>
    <sheetView topLeftCell="A10" zoomScale="85" zoomScaleNormal="85" workbookViewId="0">
      <selection activeCell="L30" sqref="L30"/>
    </sheetView>
  </sheetViews>
  <sheetFormatPr defaultColWidth="9.140625" defaultRowHeight="12.75" x14ac:dyDescent="0.2"/>
  <cols>
    <col min="1" max="1" width="3.42578125" style="2" customWidth="1"/>
    <col min="2" max="2" width="21.7109375" style="2" customWidth="1"/>
    <col min="3" max="3" width="15.140625" style="2" customWidth="1"/>
    <col min="4" max="4" width="16.5703125" style="2" bestFit="1" customWidth="1"/>
    <col min="5" max="5" width="0.85546875" style="2" customWidth="1"/>
    <col min="6" max="6" width="16.5703125" style="2" bestFit="1" customWidth="1"/>
    <col min="7" max="7" width="0.85546875" style="2" customWidth="1"/>
    <col min="8" max="8" width="16.5703125" style="2" bestFit="1" customWidth="1"/>
    <col min="9" max="9" width="0.85546875" style="2" customWidth="1"/>
    <col min="10" max="10" width="16.5703125" style="2" bestFit="1" customWidth="1"/>
    <col min="11" max="11" width="0.85546875" style="2" customWidth="1"/>
    <col min="12" max="12" width="16.5703125" style="2" bestFit="1" customWidth="1"/>
    <col min="13" max="13" width="0.85546875" style="2" customWidth="1"/>
    <col min="14" max="14" width="20.140625" style="2" bestFit="1" customWidth="1"/>
    <col min="15" max="15" width="6.85546875" style="2" customWidth="1"/>
    <col min="16" max="16" width="6.28515625" style="2" customWidth="1"/>
    <col min="17" max="17" width="15" style="2" customWidth="1"/>
    <col min="18" max="18" width="15.140625" style="2" customWidth="1"/>
    <col min="19" max="19" width="11" style="2" customWidth="1"/>
    <col min="20" max="20" width="10.85546875" style="2" customWidth="1"/>
    <col min="21" max="21" width="10.28515625" style="2" bestFit="1" customWidth="1"/>
    <col min="22" max="22" width="11.28515625" style="2" bestFit="1" customWidth="1"/>
    <col min="23" max="16384" width="9.140625" style="2"/>
  </cols>
  <sheetData>
    <row r="1" spans="1:28" x14ac:dyDescent="0.2">
      <c r="A1" s="1"/>
      <c r="C1" s="3"/>
      <c r="D1" s="3" t="s">
        <v>0</v>
      </c>
      <c r="E1" s="3"/>
      <c r="F1" s="3" t="s">
        <v>0</v>
      </c>
      <c r="G1" s="3"/>
      <c r="H1" s="3" t="s">
        <v>0</v>
      </c>
      <c r="I1" s="3"/>
      <c r="J1" s="3" t="s">
        <v>0</v>
      </c>
      <c r="K1" s="3"/>
      <c r="L1" s="3" t="s">
        <v>0</v>
      </c>
      <c r="M1" s="3"/>
      <c r="N1" s="3"/>
      <c r="O1" s="3"/>
      <c r="P1" s="38"/>
      <c r="Q1" s="38"/>
      <c r="S1" s="4"/>
    </row>
    <row r="2" spans="1:28" x14ac:dyDescent="0.2">
      <c r="A2" s="1" t="s">
        <v>1</v>
      </c>
      <c r="C2" s="5"/>
      <c r="D2" s="5">
        <v>2022</v>
      </c>
      <c r="E2" s="5"/>
      <c r="F2" s="5">
        <v>2023</v>
      </c>
      <c r="G2" s="5"/>
      <c r="H2" s="5">
        <v>2024</v>
      </c>
      <c r="I2" s="5"/>
      <c r="J2" s="5">
        <v>2025</v>
      </c>
      <c r="K2" s="5"/>
      <c r="L2" s="5">
        <v>2026</v>
      </c>
      <c r="M2" s="5"/>
      <c r="N2" s="5"/>
      <c r="O2" s="3"/>
      <c r="P2" s="38"/>
      <c r="Q2" s="38"/>
      <c r="S2" s="4"/>
    </row>
    <row r="3" spans="1:28" x14ac:dyDescent="0.2">
      <c r="A3" s="1" t="s">
        <v>2</v>
      </c>
      <c r="C3" s="5"/>
      <c r="D3" s="6" t="s">
        <v>3</v>
      </c>
      <c r="E3" s="5"/>
      <c r="F3" s="6" t="s">
        <v>4</v>
      </c>
      <c r="G3" s="5"/>
      <c r="H3" s="6" t="s">
        <v>5</v>
      </c>
      <c r="I3" s="5"/>
      <c r="J3" s="6" t="s">
        <v>6</v>
      </c>
      <c r="K3" s="5"/>
      <c r="L3" s="6" t="s">
        <v>7</v>
      </c>
      <c r="M3" s="5"/>
      <c r="N3" s="6" t="s">
        <v>8</v>
      </c>
      <c r="O3" s="5"/>
      <c r="P3" s="38"/>
      <c r="S3" s="4"/>
    </row>
    <row r="4" spans="1:28" x14ac:dyDescent="0.2">
      <c r="A4" s="2" t="s">
        <v>9</v>
      </c>
      <c r="E4" s="24"/>
      <c r="G4" s="24"/>
      <c r="I4" s="24"/>
      <c r="K4" s="24"/>
      <c r="M4" s="24"/>
    </row>
    <row r="5" spans="1:28" x14ac:dyDescent="0.2">
      <c r="B5" s="2" t="s">
        <v>10</v>
      </c>
      <c r="C5" s="7"/>
      <c r="D5" s="7">
        <f>'AHCCCS 2017-2021'!L5*(1+D$68)</f>
        <v>14324774.939999999</v>
      </c>
      <c r="E5" s="10"/>
      <c r="F5" s="7">
        <f t="shared" ref="F5:F10" si="0">D5*(1+F$68)</f>
        <v>14611270.4388</v>
      </c>
      <c r="G5" s="10"/>
      <c r="H5" s="7">
        <f t="shared" ref="H5:H10" si="1">F5*(1+H$68)</f>
        <v>14903495.847576</v>
      </c>
      <c r="I5" s="10"/>
      <c r="J5" s="7">
        <f t="shared" ref="J5:J10" si="2">H5*(1+J$68)</f>
        <v>15201565.76452752</v>
      </c>
      <c r="K5" s="10"/>
      <c r="L5" s="7">
        <f t="shared" ref="L5:L10" si="3">J5*(1+L$68)</f>
        <v>15505597.07981807</v>
      </c>
      <c r="M5" s="10"/>
      <c r="N5" s="7">
        <f t="shared" ref="N5:N10" si="4">SUM(D5:L5)</f>
        <v>74546704.070721596</v>
      </c>
      <c r="O5" s="7"/>
      <c r="P5" s="38"/>
      <c r="Q5" s="9"/>
      <c r="R5" s="9"/>
      <c r="S5" s="9"/>
      <c r="T5" s="9"/>
      <c r="U5" s="9"/>
    </row>
    <row r="6" spans="1:28" x14ac:dyDescent="0.2">
      <c r="B6" s="2" t="s">
        <v>11</v>
      </c>
      <c r="C6" s="10"/>
      <c r="D6" s="7">
        <f>'AHCCCS 2017-2021'!L6*(1+D$68)</f>
        <v>2489234.52</v>
      </c>
      <c r="E6" s="10"/>
      <c r="F6" s="7">
        <f t="shared" si="0"/>
        <v>2539019.2104000002</v>
      </c>
      <c r="G6" s="10"/>
      <c r="H6" s="7">
        <f t="shared" si="1"/>
        <v>2589799.5946080005</v>
      </c>
      <c r="I6" s="10"/>
      <c r="J6" s="7">
        <f t="shared" si="2"/>
        <v>2641595.5865001604</v>
      </c>
      <c r="K6" s="10"/>
      <c r="L6" s="7">
        <f t="shared" si="3"/>
        <v>2694427.4982301635</v>
      </c>
      <c r="M6" s="10"/>
      <c r="N6" s="7">
        <f t="shared" si="4"/>
        <v>12954076.409738325</v>
      </c>
      <c r="O6" s="7"/>
      <c r="P6" s="8"/>
      <c r="Q6" s="9"/>
      <c r="R6" s="9"/>
      <c r="S6" s="9"/>
      <c r="T6" s="9"/>
      <c r="U6" s="9"/>
    </row>
    <row r="7" spans="1:28" x14ac:dyDescent="0.2">
      <c r="B7" s="2" t="s">
        <v>13</v>
      </c>
      <c r="C7" s="7"/>
      <c r="D7" s="7">
        <f>'AHCCCS 2017-2021'!L7*(1+D$68)</f>
        <v>381340.26</v>
      </c>
      <c r="E7" s="10"/>
      <c r="F7" s="7">
        <f t="shared" si="0"/>
        <v>388967.06520000001</v>
      </c>
      <c r="G7" s="10"/>
      <c r="H7" s="7">
        <f t="shared" si="1"/>
        <v>396746.40650400001</v>
      </c>
      <c r="I7" s="10"/>
      <c r="J7" s="7">
        <f t="shared" si="2"/>
        <v>404681.33463408001</v>
      </c>
      <c r="K7" s="10"/>
      <c r="L7" s="7">
        <f t="shared" si="3"/>
        <v>412774.96132676164</v>
      </c>
      <c r="M7" s="10"/>
      <c r="N7" s="7">
        <f t="shared" si="4"/>
        <v>1984510.0276648419</v>
      </c>
      <c r="O7" s="7"/>
      <c r="P7" s="8"/>
      <c r="Q7" s="9"/>
      <c r="R7" s="9"/>
      <c r="S7" s="9"/>
      <c r="T7" s="9"/>
      <c r="U7" s="9"/>
    </row>
    <row r="8" spans="1:28" x14ac:dyDescent="0.2">
      <c r="B8" s="2" t="s">
        <v>14</v>
      </c>
      <c r="C8" s="7"/>
      <c r="D8" s="7">
        <f>'AHCCCS 2017-2021'!L8*(1+D$68)</f>
        <v>469873.2</v>
      </c>
      <c r="E8" s="10"/>
      <c r="F8" s="7">
        <f t="shared" si="0"/>
        <v>479270.66400000005</v>
      </c>
      <c r="G8" s="10"/>
      <c r="H8" s="7">
        <f t="shared" si="1"/>
        <v>488856.07728000009</v>
      </c>
      <c r="I8" s="10"/>
      <c r="J8" s="7">
        <f t="shared" si="2"/>
        <v>498633.19882560009</v>
      </c>
      <c r="K8" s="10"/>
      <c r="L8" s="7">
        <f t="shared" si="3"/>
        <v>508605.86280211213</v>
      </c>
      <c r="M8" s="10"/>
      <c r="N8" s="7">
        <f t="shared" si="4"/>
        <v>2445239.0029077125</v>
      </c>
      <c r="O8" s="7"/>
      <c r="P8" s="8"/>
      <c r="Q8" s="9"/>
      <c r="R8" s="9"/>
      <c r="S8" s="9"/>
      <c r="T8" s="9"/>
      <c r="U8" s="9"/>
    </row>
    <row r="9" spans="1:28" x14ac:dyDescent="0.2">
      <c r="B9" s="41" t="s">
        <v>57</v>
      </c>
      <c r="C9" s="7"/>
      <c r="D9" s="7">
        <f>'AHCCCS 2017-2021'!L9*(1+D$68)</f>
        <v>1573647.84</v>
      </c>
      <c r="E9" s="10"/>
      <c r="F9" s="7">
        <f t="shared" si="0"/>
        <v>1605120.7968000001</v>
      </c>
      <c r="G9" s="10"/>
      <c r="H9" s="7">
        <f t="shared" si="1"/>
        <v>1637223.2127360001</v>
      </c>
      <c r="I9" s="10"/>
      <c r="J9" s="7">
        <f t="shared" si="2"/>
        <v>1669967.6769907202</v>
      </c>
      <c r="K9" s="10"/>
      <c r="L9" s="7">
        <f t="shared" si="3"/>
        <v>1703367.0305305347</v>
      </c>
      <c r="M9" s="10"/>
      <c r="N9" s="7">
        <f t="shared" si="4"/>
        <v>8189326.5570572559</v>
      </c>
      <c r="O9" s="7"/>
      <c r="P9" s="8"/>
      <c r="Q9" s="9"/>
      <c r="R9" s="9"/>
      <c r="S9" s="9"/>
      <c r="T9" s="9"/>
      <c r="U9" s="9"/>
    </row>
    <row r="10" spans="1:28" x14ac:dyDescent="0.2">
      <c r="B10" s="11" t="s">
        <v>16</v>
      </c>
      <c r="C10" s="7"/>
      <c r="D10" s="12">
        <f>'AHCCCS 2017-2021'!L10*(1+D$68)</f>
        <v>4434375.54</v>
      </c>
      <c r="E10" s="10"/>
      <c r="F10" s="12">
        <f t="shared" si="0"/>
        <v>4523063.0508000003</v>
      </c>
      <c r="G10" s="10"/>
      <c r="H10" s="12">
        <f t="shared" si="1"/>
        <v>4613524.3118160004</v>
      </c>
      <c r="I10" s="10"/>
      <c r="J10" s="12">
        <f t="shared" si="2"/>
        <v>4705794.7980523203</v>
      </c>
      <c r="K10" s="10"/>
      <c r="L10" s="12">
        <f t="shared" si="3"/>
        <v>4799910.6940133665</v>
      </c>
      <c r="M10" s="10"/>
      <c r="N10" s="12">
        <f t="shared" si="4"/>
        <v>23076668.394681685</v>
      </c>
      <c r="O10" s="7"/>
      <c r="P10" s="8"/>
      <c r="Q10" s="9"/>
      <c r="R10" s="9"/>
      <c r="S10" s="9"/>
      <c r="T10" s="9"/>
      <c r="U10" s="9"/>
    </row>
    <row r="11" spans="1:28" x14ac:dyDescent="0.2">
      <c r="B11" s="2" t="s">
        <v>17</v>
      </c>
      <c r="C11" s="7"/>
      <c r="D11" s="8">
        <f>SUM(D5:D10)</f>
        <v>23673246.300000001</v>
      </c>
      <c r="E11" s="25"/>
      <c r="F11" s="8">
        <f t="shared" ref="F11:L11" si="5">SUM(F5:F10)</f>
        <v>24146711.226</v>
      </c>
      <c r="G11" s="25"/>
      <c r="H11" s="8">
        <f t="shared" si="5"/>
        <v>24629645.450520001</v>
      </c>
      <c r="I11" s="25"/>
      <c r="J11" s="8">
        <f t="shared" si="5"/>
        <v>25122238.359530404</v>
      </c>
      <c r="K11" s="25"/>
      <c r="L11" s="8">
        <f t="shared" si="5"/>
        <v>25624683.12672101</v>
      </c>
      <c r="M11" s="25"/>
      <c r="N11" s="8">
        <f>SUM(N5:N10)</f>
        <v>123196524.46277142</v>
      </c>
      <c r="P11" s="15"/>
    </row>
    <row r="12" spans="1:28" x14ac:dyDescent="0.2">
      <c r="C12" s="7"/>
      <c r="D12" s="8"/>
      <c r="E12" s="25"/>
      <c r="F12" s="8"/>
      <c r="G12" s="25"/>
      <c r="H12" s="8"/>
      <c r="I12" s="25"/>
      <c r="J12" s="8"/>
      <c r="K12" s="25"/>
      <c r="L12" s="20"/>
      <c r="M12" s="25"/>
      <c r="N12" s="7"/>
    </row>
    <row r="13" spans="1:28" x14ac:dyDescent="0.2">
      <c r="A13" s="2" t="s">
        <v>18</v>
      </c>
      <c r="C13" s="7"/>
      <c r="D13" s="13"/>
      <c r="E13" s="42"/>
      <c r="F13" s="13"/>
      <c r="G13" s="42"/>
      <c r="H13" s="13"/>
      <c r="I13" s="42"/>
      <c r="J13" s="13"/>
      <c r="K13" s="42"/>
      <c r="L13" s="13"/>
      <c r="M13" s="42"/>
      <c r="N13" s="13"/>
    </row>
    <row r="14" spans="1:28" x14ac:dyDescent="0.2">
      <c r="B14" s="2" t="s">
        <v>10</v>
      </c>
      <c r="C14" s="14"/>
      <c r="D14" s="14">
        <f>'AHCCCS 2017-2021'!L54*(1+Sheet1!C33)</f>
        <v>408.43944411576712</v>
      </c>
      <c r="E14" s="17"/>
      <c r="F14" s="23">
        <f>D14*(1+Sheet1!D33)</f>
        <v>428.07392346464911</v>
      </c>
      <c r="G14" s="17"/>
      <c r="H14" s="23">
        <f>F14*(1+Sheet1!E33)</f>
        <v>448.87631282055133</v>
      </c>
      <c r="I14" s="17"/>
      <c r="J14" s="23">
        <f>H14*(1+Sheet1!F33)</f>
        <v>470.92196664841623</v>
      </c>
      <c r="K14" s="17"/>
      <c r="L14" s="23">
        <f>J14*(1+Sheet1!G33)</f>
        <v>493.95347848411882</v>
      </c>
      <c r="M14" s="17"/>
      <c r="N14" s="17"/>
      <c r="O14" s="15"/>
      <c r="P14" s="36"/>
      <c r="Q14" s="15"/>
      <c r="R14" s="13"/>
      <c r="S14" s="9"/>
      <c r="T14" s="16"/>
      <c r="U14" s="9"/>
      <c r="V14" s="16"/>
      <c r="W14" s="9"/>
      <c r="X14" s="16"/>
      <c r="Y14" s="9"/>
      <c r="Z14" s="16"/>
      <c r="AA14" s="9"/>
      <c r="AB14" s="16"/>
    </row>
    <row r="15" spans="1:28" x14ac:dyDescent="0.2">
      <c r="B15" s="2" t="s">
        <v>11</v>
      </c>
      <c r="C15" s="17"/>
      <c r="D15" s="14">
        <f>'AHCCCS 2017-2021'!L55*(1+Sheet1!C34)</f>
        <v>1179.5082363817096</v>
      </c>
      <c r="E15" s="17"/>
      <c r="F15" s="23">
        <f>D15*(1+Sheet1!D34)</f>
        <v>1233.0218272179472</v>
      </c>
      <c r="G15" s="17"/>
      <c r="H15" s="23">
        <f>F15*(1+Sheet1!E34)</f>
        <v>1290.2602696726797</v>
      </c>
      <c r="I15" s="17"/>
      <c r="J15" s="23">
        <f>H15*(1+Sheet1!F34)</f>
        <v>1350.6082286013832</v>
      </c>
      <c r="K15" s="17"/>
      <c r="L15" s="23">
        <f>J15*(1+Sheet1!G34)</f>
        <v>1413.4275474675278</v>
      </c>
      <c r="M15" s="17"/>
      <c r="N15" s="17"/>
      <c r="O15" s="15"/>
      <c r="P15" s="36"/>
      <c r="Q15" s="15"/>
      <c r="R15" s="13"/>
      <c r="T15" s="16"/>
      <c r="V15" s="16"/>
      <c r="X15" s="16"/>
      <c r="Z15" s="16"/>
      <c r="AB15" s="16"/>
    </row>
    <row r="16" spans="1:28" x14ac:dyDescent="0.2">
      <c r="B16" s="2" t="s">
        <v>13</v>
      </c>
      <c r="C16" s="17"/>
      <c r="D16" s="14">
        <f>'AHCCCS 2017-2021'!L56*(1+Sheet1!C35)</f>
        <v>4674.3738170987081</v>
      </c>
      <c r="E16" s="17"/>
      <c r="F16" s="23">
        <f>D16*(1+Sheet1!D35)</f>
        <v>4886.4473916175148</v>
      </c>
      <c r="G16" s="17"/>
      <c r="H16" s="23">
        <f>F16*(1+Sheet1!E35)</f>
        <v>5113.2824983927476</v>
      </c>
      <c r="I16" s="17"/>
      <c r="J16" s="23">
        <f>H16*(1+Sheet1!F35)</f>
        <v>5352.4405732842151</v>
      </c>
      <c r="K16" s="17"/>
      <c r="L16" s="23">
        <f>J16*(1+Sheet1!G35)</f>
        <v>5601.3926113103862</v>
      </c>
      <c r="M16" s="17"/>
      <c r="N16" s="17"/>
      <c r="O16" s="15"/>
      <c r="P16" s="36"/>
      <c r="Q16" s="15"/>
      <c r="R16" s="13"/>
      <c r="T16" s="16"/>
      <c r="V16" s="16"/>
      <c r="X16" s="16"/>
      <c r="Z16" s="16"/>
      <c r="AB16" s="16"/>
    </row>
    <row r="17" spans="1:28" x14ac:dyDescent="0.2">
      <c r="B17" s="2" t="s">
        <v>14</v>
      </c>
      <c r="C17" s="14"/>
      <c r="D17" s="14">
        <f>'AHCCCS 2017-2021'!L57*(1+Sheet1!C36)</f>
        <v>5193.9891458258844</v>
      </c>
      <c r="E17" s="17"/>
      <c r="F17" s="23">
        <f>D17*(1+Sheet1!D36)</f>
        <v>5455.929747665472</v>
      </c>
      <c r="G17" s="17"/>
      <c r="H17" s="23">
        <f>F17*(1+Sheet1!E36)</f>
        <v>5735.5808576427953</v>
      </c>
      <c r="I17" s="17"/>
      <c r="J17" s="23">
        <f>H17*(1+Sheet1!F36)</f>
        <v>6031.8492345147833</v>
      </c>
      <c r="K17" s="17"/>
      <c r="L17" s="23">
        <f>J17*(1+Sheet1!G36)</f>
        <v>6342.5483957952965</v>
      </c>
      <c r="M17" s="17"/>
      <c r="N17" s="17"/>
      <c r="O17" s="15"/>
      <c r="P17" s="36"/>
      <c r="Q17" s="15"/>
      <c r="R17" s="13"/>
      <c r="T17" s="16"/>
      <c r="V17" s="16"/>
      <c r="X17" s="16"/>
      <c r="Z17" s="16"/>
      <c r="AB17" s="16"/>
    </row>
    <row r="18" spans="1:28" x14ac:dyDescent="0.2">
      <c r="B18" s="41" t="s">
        <v>57</v>
      </c>
      <c r="C18" s="14"/>
      <c r="D18" s="14">
        <f>'AHCCCS 2017-2021'!L58*(1+Sheet1!C37)</f>
        <v>462.45277814121113</v>
      </c>
      <c r="E18" s="17"/>
      <c r="F18" s="23">
        <f>D18*(1+Sheet1!D37)</f>
        <v>484.55081337951873</v>
      </c>
      <c r="G18" s="17"/>
      <c r="H18" s="23">
        <f>F18*(1+Sheet1!E37)</f>
        <v>507.86937963389573</v>
      </c>
      <c r="I18" s="17"/>
      <c r="J18" s="23">
        <f>H18*(1+Sheet1!F37)</f>
        <v>532.66543080246186</v>
      </c>
      <c r="K18" s="17"/>
      <c r="L18" s="23">
        <f>J18*(1+Sheet1!G37)</f>
        <v>558.68201298709732</v>
      </c>
      <c r="M18" s="17"/>
      <c r="N18" s="17"/>
      <c r="O18" s="15"/>
      <c r="P18" s="36"/>
      <c r="Q18" s="15"/>
      <c r="R18" s="13"/>
      <c r="T18" s="16"/>
      <c r="V18" s="16"/>
      <c r="X18" s="16"/>
      <c r="Z18" s="16"/>
      <c r="AB18" s="16"/>
    </row>
    <row r="19" spans="1:28" x14ac:dyDescent="0.2">
      <c r="B19" s="11" t="s">
        <v>16</v>
      </c>
      <c r="C19" s="14"/>
      <c r="D19" s="19">
        <f>'AHCCCS 2017-2021'!L59*(1+Sheet1!C38)</f>
        <v>919.2953347769112</v>
      </c>
      <c r="E19" s="17"/>
      <c r="F19" s="50">
        <f>D19*(1+Sheet1!D38)</f>
        <v>963.22332410365891</v>
      </c>
      <c r="G19" s="17"/>
      <c r="H19" s="50">
        <f>F19*(1+Sheet1!E38)</f>
        <v>1009.5775686548493</v>
      </c>
      <c r="I19" s="17"/>
      <c r="J19" s="50">
        <f>H19*(1+Sheet1!F38)</f>
        <v>1058.8688590040488</v>
      </c>
      <c r="K19" s="17"/>
      <c r="L19" s="50">
        <f>J19*(1+Sheet1!G38)</f>
        <v>1110.5864045776909</v>
      </c>
      <c r="M19" s="17"/>
      <c r="N19" s="17"/>
      <c r="O19" s="15"/>
      <c r="P19" s="36"/>
      <c r="Q19" s="15"/>
      <c r="R19" s="13"/>
      <c r="T19" s="16"/>
      <c r="V19" s="16"/>
      <c r="X19" s="16"/>
      <c r="Z19" s="16"/>
      <c r="AB19" s="16"/>
    </row>
    <row r="20" spans="1:28" x14ac:dyDescent="0.2">
      <c r="B20" s="2" t="s">
        <v>19</v>
      </c>
      <c r="C20" s="7"/>
      <c r="D20" s="20">
        <f>D29/D11</f>
        <v>752.50167619223384</v>
      </c>
      <c r="E20" s="43"/>
      <c r="F20" s="20">
        <f t="shared" ref="F20:L20" si="6">F29/F11</f>
        <v>788.32211890823214</v>
      </c>
      <c r="G20" s="43"/>
      <c r="H20" s="20">
        <f t="shared" si="6"/>
        <v>826.36585407274038</v>
      </c>
      <c r="I20" s="43"/>
      <c r="J20" s="20">
        <f t="shared" si="6"/>
        <v>866.6655559960675</v>
      </c>
      <c r="K20" s="43"/>
      <c r="L20" s="20">
        <f t="shared" si="6"/>
        <v>908.80146880981329</v>
      </c>
      <c r="M20" s="43"/>
      <c r="N20" s="43"/>
      <c r="P20" s="13"/>
      <c r="Q20" s="13"/>
      <c r="R20" s="13"/>
      <c r="S20" s="13"/>
      <c r="T20" s="13"/>
      <c r="U20" s="13"/>
      <c r="V20" s="13"/>
      <c r="W20" s="13"/>
    </row>
    <row r="21" spans="1:28" x14ac:dyDescent="0.2">
      <c r="C21" s="7"/>
      <c r="D21" s="21"/>
      <c r="E21" s="44"/>
      <c r="F21" s="13"/>
      <c r="G21" s="42"/>
      <c r="H21" s="13"/>
      <c r="I21" s="42"/>
      <c r="J21" s="13"/>
      <c r="K21" s="42"/>
      <c r="L21" s="13"/>
      <c r="M21" s="44"/>
      <c r="N21" s="23"/>
    </row>
    <row r="22" spans="1:28" x14ac:dyDescent="0.2">
      <c r="A22" s="2" t="s">
        <v>20</v>
      </c>
      <c r="C22" s="7"/>
      <c r="D22" s="22"/>
      <c r="E22" s="45"/>
      <c r="F22" s="22"/>
      <c r="G22" s="45"/>
      <c r="H22" s="22"/>
      <c r="I22" s="45"/>
      <c r="J22" s="22"/>
      <c r="K22" s="45"/>
      <c r="L22" s="22"/>
      <c r="M22" s="45"/>
      <c r="N22" s="7"/>
      <c r="P22" s="24"/>
    </row>
    <row r="23" spans="1:28" x14ac:dyDescent="0.2">
      <c r="B23" s="2" t="s">
        <v>10</v>
      </c>
      <c r="C23" s="7"/>
      <c r="D23" s="7">
        <f t="shared" ref="D23:D28" si="7">D14*D5</f>
        <v>5850803113.5770712</v>
      </c>
      <c r="E23" s="10"/>
      <c r="F23" s="7">
        <f t="shared" ref="F23:F28" si="8">F14*F5</f>
        <v>6254703863.5401611</v>
      </c>
      <c r="G23" s="10"/>
      <c r="H23" s="7">
        <f t="shared" ref="H23:H28" si="9">H14*H5</f>
        <v>6689826264.196312</v>
      </c>
      <c r="I23" s="10"/>
      <c r="J23" s="7">
        <f t="shared" ref="J23:J28" si="10">J14*J5</f>
        <v>7158751245.9665346</v>
      </c>
      <c r="K23" s="10"/>
      <c r="L23" s="7">
        <f t="shared" ref="L23:L28" si="11">L14*L5</f>
        <v>7659043613.5493307</v>
      </c>
      <c r="M23" s="10"/>
      <c r="N23" s="7">
        <f t="shared" ref="N23:N28" si="12">SUM(D23:L23)</f>
        <v>33613128100.829411</v>
      </c>
      <c r="O23" s="9"/>
      <c r="P23" s="39"/>
    </row>
    <row r="24" spans="1:28" x14ac:dyDescent="0.2">
      <c r="B24" s="2" t="s">
        <v>11</v>
      </c>
      <c r="C24" s="10"/>
      <c r="D24" s="7">
        <f t="shared" si="7"/>
        <v>2936072618.6256714</v>
      </c>
      <c r="E24" s="10"/>
      <c r="F24" s="7">
        <f t="shared" si="8"/>
        <v>3130666106.1488781</v>
      </c>
      <c r="G24" s="10"/>
      <c r="H24" s="7">
        <f t="shared" si="9"/>
        <v>3341515523.3371153</v>
      </c>
      <c r="I24" s="10"/>
      <c r="J24" s="7">
        <f t="shared" si="10"/>
        <v>3567760735.7642136</v>
      </c>
      <c r="K24" s="10"/>
      <c r="L24" s="7">
        <f t="shared" si="11"/>
        <v>3808378050.6525264</v>
      </c>
      <c r="M24" s="10"/>
      <c r="N24" s="7">
        <f t="shared" si="12"/>
        <v>16784393034.528404</v>
      </c>
      <c r="O24" s="9"/>
      <c r="P24" s="25"/>
    </row>
    <row r="25" spans="1:28" x14ac:dyDescent="0.2">
      <c r="B25" s="2" t="s">
        <v>13</v>
      </c>
      <c r="C25" s="10"/>
      <c r="D25" s="7">
        <f t="shared" si="7"/>
        <v>1782526926.7496138</v>
      </c>
      <c r="E25" s="10"/>
      <c r="F25" s="7">
        <f t="shared" si="8"/>
        <v>1900667101.1716599</v>
      </c>
      <c r="G25" s="10"/>
      <c r="H25" s="7">
        <f t="shared" si="9"/>
        <v>2028676456.6771178</v>
      </c>
      <c r="I25" s="10"/>
      <c r="J25" s="7">
        <f t="shared" si="10"/>
        <v>2166032794.7462564</v>
      </c>
      <c r="K25" s="10"/>
      <c r="L25" s="7">
        <f t="shared" si="11"/>
        <v>2312114618.5096531</v>
      </c>
      <c r="M25" s="10"/>
      <c r="N25" s="7">
        <f t="shared" si="12"/>
        <v>10190017897.854301</v>
      </c>
      <c r="O25" s="9"/>
      <c r="P25" s="25"/>
    </row>
    <row r="26" spans="1:28" x14ac:dyDescent="0.2">
      <c r="B26" s="2" t="s">
        <v>14</v>
      </c>
      <c r="C26" s="10"/>
      <c r="D26" s="7">
        <f t="shared" si="7"/>
        <v>2440516300.7144752</v>
      </c>
      <c r="E26" s="10"/>
      <c r="F26" s="7">
        <f t="shared" si="8"/>
        <v>2614867072.9009833</v>
      </c>
      <c r="G26" s="10"/>
      <c r="H26" s="7">
        <f t="shared" si="9"/>
        <v>2803873558.9895153</v>
      </c>
      <c r="I26" s="10"/>
      <c r="J26" s="7">
        <f t="shared" si="10"/>
        <v>3007680278.6398535</v>
      </c>
      <c r="K26" s="10"/>
      <c r="L26" s="7">
        <f t="shared" si="11"/>
        <v>3225857299.2076187</v>
      </c>
      <c r="M26" s="10"/>
      <c r="N26" s="7">
        <f t="shared" si="12"/>
        <v>14092794510.452446</v>
      </c>
      <c r="O26" s="9"/>
      <c r="P26" s="25"/>
    </row>
    <row r="27" spans="1:28" x14ac:dyDescent="0.2">
      <c r="B27" s="41" t="s">
        <v>57</v>
      </c>
      <c r="C27" s="10"/>
      <c r="D27" s="7">
        <f t="shared" si="7"/>
        <v>727737815.4239161</v>
      </c>
      <c r="E27" s="10"/>
      <c r="F27" s="7">
        <f t="shared" si="8"/>
        <v>777762587.66182125</v>
      </c>
      <c r="G27" s="10"/>
      <c r="H27" s="7">
        <f t="shared" si="9"/>
        <v>831495537.37444603</v>
      </c>
      <c r="I27" s="10"/>
      <c r="J27" s="7">
        <f t="shared" si="10"/>
        <v>889534052.0904485</v>
      </c>
      <c r="K27" s="10"/>
      <c r="L27" s="7">
        <f t="shared" si="11"/>
        <v>951640521.47265363</v>
      </c>
      <c r="M27" s="10"/>
      <c r="N27" s="7">
        <f t="shared" si="12"/>
        <v>4178170514.0232849</v>
      </c>
      <c r="O27" s="9"/>
      <c r="P27" s="25"/>
    </row>
    <row r="28" spans="1:28" x14ac:dyDescent="0.2">
      <c r="B28" s="11" t="s">
        <v>16</v>
      </c>
      <c r="C28" s="10"/>
      <c r="D28" s="12">
        <f t="shared" si="7"/>
        <v>4076500746.5708466</v>
      </c>
      <c r="E28" s="10"/>
      <c r="F28" s="12">
        <f t="shared" si="8"/>
        <v>4356719826.9220133</v>
      </c>
      <c r="G28" s="10"/>
      <c r="H28" s="12">
        <f t="shared" si="9"/>
        <v>4657710657.6532345</v>
      </c>
      <c r="I28" s="10"/>
      <c r="J28" s="12">
        <f t="shared" si="10"/>
        <v>4982819568.5208483</v>
      </c>
      <c r="K28" s="10"/>
      <c r="L28" s="12">
        <f t="shared" si="11"/>
        <v>5330715559.9583139</v>
      </c>
      <c r="M28" s="10"/>
      <c r="N28" s="12">
        <f t="shared" si="12"/>
        <v>23404466359.625256</v>
      </c>
      <c r="O28" s="9"/>
      <c r="P28" s="25"/>
    </row>
    <row r="29" spans="1:28" x14ac:dyDescent="0.2">
      <c r="B29" s="2" t="s">
        <v>8</v>
      </c>
      <c r="C29" s="7"/>
      <c r="D29" s="8">
        <f>SUM(D23:D28)</f>
        <v>17814157521.661598</v>
      </c>
      <c r="E29" s="25"/>
      <c r="F29" s="8">
        <f>SUM(F23:F28)</f>
        <v>19035386558.345516</v>
      </c>
      <c r="G29" s="25"/>
      <c r="H29" s="8">
        <f>SUM(H23:H28)</f>
        <v>20353097998.227745</v>
      </c>
      <c r="I29" s="25"/>
      <c r="J29" s="8">
        <f>SUM(J23:J28)</f>
        <v>21772578675.728153</v>
      </c>
      <c r="K29" s="25"/>
      <c r="L29" s="8">
        <f>SUM(L23:L28)</f>
        <v>23287749663.350094</v>
      </c>
      <c r="M29" s="25"/>
      <c r="N29" s="8">
        <f>SUM(N23:N28)</f>
        <v>102262970417.31311</v>
      </c>
      <c r="P29" s="25"/>
    </row>
    <row r="30" spans="1:28" x14ac:dyDescent="0.2">
      <c r="C30" s="7"/>
      <c r="E30" s="24"/>
      <c r="G30" s="24"/>
      <c r="I30" s="24"/>
      <c r="K30" s="24"/>
      <c r="M30" s="24"/>
      <c r="N30" s="7"/>
      <c r="P30" s="24"/>
    </row>
    <row r="31" spans="1:28" x14ac:dyDescent="0.2">
      <c r="A31" s="2" t="s">
        <v>21</v>
      </c>
      <c r="C31" s="7"/>
      <c r="D31" s="12">
        <f>[4]Allotments!$J$47</f>
        <v>70805285.714285716</v>
      </c>
      <c r="E31" s="10"/>
      <c r="F31" s="12">
        <f>[4]Allotments!$J$48</f>
        <v>74800142.857142866</v>
      </c>
      <c r="G31" s="10"/>
      <c r="H31" s="12">
        <f>[4]Allotments!$J$49</f>
        <v>78885142.857142866</v>
      </c>
      <c r="I31" s="10"/>
      <c r="J31" s="12">
        <f>[4]Allotments!$J$50</f>
        <v>83062142.857142866</v>
      </c>
      <c r="K31" s="10"/>
      <c r="L31" s="12">
        <f>ROUND((J31*(1+[4]Allotments!$J$51)),-2)</f>
        <v>87460300</v>
      </c>
      <c r="M31" s="10"/>
      <c r="N31" s="12">
        <f>D31+F31+H31+J31+L31</f>
        <v>395013014.28571433</v>
      </c>
      <c r="O31" s="9"/>
      <c r="P31" s="25"/>
    </row>
    <row r="32" spans="1:28" x14ac:dyDescent="0.2">
      <c r="C32" s="7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9"/>
      <c r="P32" s="25"/>
    </row>
    <row r="33" spans="1:22" x14ac:dyDescent="0.2">
      <c r="C33" s="7"/>
      <c r="E33" s="24"/>
      <c r="G33" s="24"/>
      <c r="I33" s="24"/>
      <c r="K33" s="24"/>
      <c r="M33" s="24"/>
      <c r="N33" s="7"/>
      <c r="P33" s="24"/>
    </row>
    <row r="34" spans="1:22" ht="13.5" thickBot="1" x14ac:dyDescent="0.25">
      <c r="A34" s="2" t="s">
        <v>22</v>
      </c>
      <c r="C34" s="7"/>
      <c r="D34" s="26">
        <f>D31+D29</f>
        <v>17884962807.375885</v>
      </c>
      <c r="E34" s="25"/>
      <c r="F34" s="26">
        <f>F31+F29</f>
        <v>19110186701.20266</v>
      </c>
      <c r="G34" s="25"/>
      <c r="H34" s="26">
        <f>H31+H29</f>
        <v>20431983141.084888</v>
      </c>
      <c r="I34" s="25"/>
      <c r="J34" s="26">
        <f>J31+J29</f>
        <v>21855640818.585297</v>
      </c>
      <c r="K34" s="25"/>
      <c r="L34" s="26">
        <f>L31+L29</f>
        <v>23375209963.350094</v>
      </c>
      <c r="M34" s="25"/>
      <c r="N34" s="27">
        <f>N31+N29</f>
        <v>102657983431.59883</v>
      </c>
      <c r="O34" s="9"/>
      <c r="P34" s="25"/>
    </row>
    <row r="35" spans="1:22" x14ac:dyDescent="0.2">
      <c r="D35" s="28"/>
      <c r="E35" s="46"/>
      <c r="F35" s="28"/>
      <c r="G35" s="46"/>
      <c r="H35" s="28"/>
      <c r="I35" s="46"/>
      <c r="J35" s="28"/>
      <c r="K35" s="46"/>
      <c r="L35" s="28"/>
      <c r="M35" s="46"/>
      <c r="N35" s="8"/>
      <c r="P35" s="24"/>
    </row>
    <row r="36" spans="1:22" x14ac:dyDescent="0.2">
      <c r="A36" s="1" t="s">
        <v>23</v>
      </c>
      <c r="C36" s="7"/>
      <c r="D36" s="29"/>
      <c r="E36" s="47"/>
      <c r="F36" s="29"/>
      <c r="G36" s="47"/>
      <c r="H36" s="29"/>
      <c r="I36" s="47"/>
      <c r="J36" s="29"/>
      <c r="K36" s="47"/>
      <c r="L36" s="29"/>
      <c r="M36" s="47"/>
      <c r="N36" s="7"/>
      <c r="P36" s="24"/>
      <c r="S36" s="3"/>
      <c r="T36" s="3"/>
      <c r="U36" s="3"/>
    </row>
    <row r="37" spans="1:22" x14ac:dyDescent="0.2">
      <c r="B37" s="2" t="s">
        <v>10</v>
      </c>
      <c r="C37" s="7"/>
      <c r="D37" s="7">
        <f>ROUND((D5*D54),-2)</f>
        <v>5818833600</v>
      </c>
      <c r="E37" s="10"/>
      <c r="F37" s="7">
        <f>ROUND((F5*F54),-2)</f>
        <v>6208229900</v>
      </c>
      <c r="G37" s="10"/>
      <c r="H37" s="7">
        <f>ROUND((H5*H54),-2)</f>
        <v>6592022700</v>
      </c>
      <c r="I37" s="10"/>
      <c r="J37" s="7">
        <f>ROUND((J5*J54),-2)</f>
        <v>7066780200</v>
      </c>
      <c r="K37" s="10"/>
      <c r="L37" s="7">
        <f>ROUND((L5*L54),-2)</f>
        <v>7633394600</v>
      </c>
      <c r="M37" s="10"/>
      <c r="N37" s="7">
        <f t="shared" ref="N37:N46" si="13">SUM(D37:L37)</f>
        <v>33319261000</v>
      </c>
      <c r="O37" s="8"/>
      <c r="P37" s="40"/>
      <c r="Q37" s="28"/>
      <c r="R37" s="40"/>
      <c r="S37" s="40"/>
      <c r="T37" s="40"/>
      <c r="U37" s="40"/>
      <c r="V37" s="40"/>
    </row>
    <row r="38" spans="1:22" x14ac:dyDescent="0.2">
      <c r="B38" s="2" t="s">
        <v>11</v>
      </c>
      <c r="C38" s="7"/>
      <c r="D38" s="7">
        <f t="shared" ref="D38" si="14">ROUND((D6*D55),-2)</f>
        <v>2924492600</v>
      </c>
      <c r="E38" s="10"/>
      <c r="F38" s="7">
        <f t="shared" ref="F38" si="15">ROUND((F6*F55),-2)</f>
        <v>3120199600</v>
      </c>
      <c r="G38" s="10"/>
      <c r="H38" s="7">
        <f t="shared" ref="H38" si="16">ROUND((H6*H55),-2)</f>
        <v>3313090400</v>
      </c>
      <c r="I38" s="10"/>
      <c r="J38" s="7">
        <f t="shared" ref="J38" si="17">ROUND((J6*J55),-2)</f>
        <v>3551699100</v>
      </c>
      <c r="K38" s="10"/>
      <c r="L38" s="7">
        <f>ROUND((L6*L55),-2)</f>
        <v>3836474400</v>
      </c>
      <c r="M38" s="10"/>
      <c r="N38" s="7">
        <f t="shared" si="13"/>
        <v>16745956100</v>
      </c>
      <c r="O38" s="8"/>
      <c r="P38" s="40"/>
      <c r="Q38" s="8"/>
      <c r="R38" s="40"/>
      <c r="S38" s="40"/>
      <c r="T38" s="40"/>
      <c r="U38" s="40"/>
      <c r="V38" s="40"/>
    </row>
    <row r="39" spans="1:22" x14ac:dyDescent="0.2">
      <c r="B39" s="2" t="s">
        <v>13</v>
      </c>
      <c r="C39" s="7"/>
      <c r="D39" s="7">
        <f t="shared" ref="D39" si="18">ROUND((D7*D56),-2)</f>
        <v>1775496500</v>
      </c>
      <c r="E39" s="10"/>
      <c r="F39" s="7">
        <f t="shared" ref="F39" si="19">ROUND((F7*F56),-2)</f>
        <v>1894312800</v>
      </c>
      <c r="G39" s="10"/>
      <c r="H39" s="7">
        <f t="shared" ref="H39" si="20">ROUND((H7*H56),-2)</f>
        <v>2011419200</v>
      </c>
      <c r="I39" s="10"/>
      <c r="J39" s="7">
        <f t="shared" ref="J39" si="21">ROUND((J7*J56),-2)</f>
        <v>2156281600</v>
      </c>
      <c r="K39" s="10"/>
      <c r="L39" s="7">
        <f>ROUND((L7*L56),-2)</f>
        <v>2329172300</v>
      </c>
      <c r="M39" s="10"/>
      <c r="N39" s="7">
        <f t="shared" si="13"/>
        <v>10166682400</v>
      </c>
      <c r="O39" s="8"/>
      <c r="P39" s="40"/>
      <c r="Q39" s="8"/>
      <c r="R39" s="40"/>
      <c r="S39" s="40"/>
      <c r="T39" s="40"/>
      <c r="U39" s="40"/>
      <c r="V39" s="40"/>
    </row>
    <row r="40" spans="1:22" x14ac:dyDescent="0.2">
      <c r="B40" s="2" t="s">
        <v>14</v>
      </c>
      <c r="C40" s="7"/>
      <c r="D40" s="7">
        <f t="shared" ref="D40:D41" si="22">ROUND((D8*D57),-2)</f>
        <v>2425796200</v>
      </c>
      <c r="E40" s="10"/>
      <c r="F40" s="7">
        <f t="shared" ref="F40:F41" si="23">ROUND((F8*F57),-2)</f>
        <v>2588130400</v>
      </c>
      <c r="G40" s="10"/>
      <c r="H40" s="7">
        <f t="shared" ref="H40:H41" si="24">ROUND((H8*H57),-2)</f>
        <v>2748128700</v>
      </c>
      <c r="I40" s="10"/>
      <c r="J40" s="7">
        <f t="shared" ref="J40:J41" si="25">ROUND((J8*J57),-2)</f>
        <v>2946048900</v>
      </c>
      <c r="K40" s="10"/>
      <c r="L40" s="7">
        <f>ROUND((L8*L57),-2)</f>
        <v>3182263100</v>
      </c>
      <c r="M40" s="10"/>
      <c r="N40" s="7">
        <f t="shared" si="13"/>
        <v>13890367300</v>
      </c>
      <c r="O40" s="8"/>
      <c r="P40" s="40"/>
      <c r="Q40" s="8"/>
      <c r="R40" s="40"/>
      <c r="S40" s="40"/>
      <c r="T40" s="40"/>
      <c r="U40" s="40"/>
      <c r="V40" s="40"/>
    </row>
    <row r="41" spans="1:22" x14ac:dyDescent="0.2">
      <c r="B41" s="41" t="s">
        <v>57</v>
      </c>
      <c r="C41" s="7"/>
      <c r="D41" s="7">
        <f t="shared" si="22"/>
        <v>724069100</v>
      </c>
      <c r="E41" s="10"/>
      <c r="F41" s="7">
        <f t="shared" si="23"/>
        <v>772523800</v>
      </c>
      <c r="G41" s="10"/>
      <c r="H41" s="7">
        <f t="shared" si="24"/>
        <v>820281200</v>
      </c>
      <c r="I41" s="10"/>
      <c r="J41" s="7">
        <f t="shared" si="25"/>
        <v>879357900</v>
      </c>
      <c r="K41" s="10"/>
      <c r="L41" s="7">
        <f>ROUND((L9*L58),-2)</f>
        <v>949864800</v>
      </c>
      <c r="M41" s="10"/>
      <c r="N41" s="7">
        <f t="shared" ref="N41" si="26">SUM(D41:L41)</f>
        <v>4146096800</v>
      </c>
      <c r="O41" s="8"/>
      <c r="P41" s="40"/>
      <c r="Q41" s="8"/>
      <c r="R41" s="40"/>
      <c r="S41" s="40"/>
      <c r="T41" s="40"/>
      <c r="U41" s="40"/>
      <c r="V41" s="40"/>
    </row>
    <row r="42" spans="1:22" x14ac:dyDescent="0.2">
      <c r="B42" s="11" t="s">
        <v>16</v>
      </c>
      <c r="C42" s="7"/>
      <c r="D42" s="7">
        <f t="shared" ref="D42" si="27">ROUND((D10*D59),-2)</f>
        <v>4055950100</v>
      </c>
      <c r="E42" s="10"/>
      <c r="F42" s="7">
        <f t="shared" ref="F42" si="28">ROUND((F10*F59),-2)</f>
        <v>4327374200</v>
      </c>
      <c r="G42" s="10"/>
      <c r="H42" s="7">
        <f t="shared" ref="H42" si="29">ROUND((H10*H59),-2)</f>
        <v>4594892500</v>
      </c>
      <c r="I42" s="10"/>
      <c r="J42" s="7">
        <f t="shared" ref="J42" si="30">ROUND((J10*J59),-2)</f>
        <v>4925816700</v>
      </c>
      <c r="K42" s="10"/>
      <c r="L42" s="7">
        <f t="shared" ref="L42" si="31">ROUND((L10*L59),-2)</f>
        <v>5320768700</v>
      </c>
      <c r="M42" s="10"/>
      <c r="N42" s="10">
        <f t="shared" si="13"/>
        <v>23224802200</v>
      </c>
      <c r="O42" s="8"/>
      <c r="P42" s="40"/>
      <c r="Q42" s="25"/>
      <c r="R42" s="40"/>
      <c r="S42" s="40"/>
      <c r="T42" s="40"/>
      <c r="U42" s="40"/>
      <c r="V42" s="40"/>
    </row>
    <row r="43" spans="1:22" x14ac:dyDescent="0.2">
      <c r="B43" s="41" t="s">
        <v>82</v>
      </c>
      <c r="C43" s="7"/>
      <c r="D43" s="7">
        <f>[6]Sheet1!G$93</f>
        <v>18500000</v>
      </c>
      <c r="E43" s="10"/>
      <c r="F43" s="7">
        <f>[6]Sheet1!J$93</f>
        <v>36000000</v>
      </c>
      <c r="G43" s="10"/>
      <c r="H43" s="7">
        <f>[6]Sheet1!M$93</f>
        <v>48000000</v>
      </c>
      <c r="I43" s="10"/>
      <c r="J43" s="7">
        <f>[6]Sheet1!P$93</f>
        <v>36000000</v>
      </c>
      <c r="K43" s="10"/>
      <c r="L43" s="7">
        <f>[6]Sheet1!S$93</f>
        <v>21500000</v>
      </c>
      <c r="M43" s="10"/>
      <c r="N43" s="10">
        <f t="shared" si="13"/>
        <v>160000000</v>
      </c>
      <c r="O43" s="8"/>
      <c r="P43" s="40"/>
      <c r="Q43" s="25"/>
      <c r="R43" s="40"/>
      <c r="S43" s="40"/>
      <c r="T43" s="40"/>
      <c r="U43" s="40"/>
      <c r="V43" s="40"/>
    </row>
    <row r="44" spans="1:22" x14ac:dyDescent="0.2">
      <c r="B44" s="41" t="s">
        <v>83</v>
      </c>
      <c r="C44" s="7"/>
      <c r="D44" s="7">
        <f>[6]Sheet1!G$94</f>
        <v>21723600</v>
      </c>
      <c r="E44" s="10"/>
      <c r="F44" s="7">
        <f>[6]Sheet1!J$94</f>
        <v>21723600</v>
      </c>
      <c r="G44" s="10"/>
      <c r="H44" s="7">
        <f>[6]Sheet1!M$94</f>
        <v>21723600</v>
      </c>
      <c r="I44" s="10"/>
      <c r="J44" s="7">
        <f>[6]Sheet1!P$94</f>
        <v>21723600</v>
      </c>
      <c r="K44" s="10"/>
      <c r="L44" s="7">
        <f>[6]Sheet1!S$94</f>
        <v>21723600</v>
      </c>
      <c r="M44" s="10"/>
      <c r="N44" s="10">
        <f t="shared" si="13"/>
        <v>108618000</v>
      </c>
      <c r="O44" s="8"/>
      <c r="P44" s="40"/>
      <c r="Q44" s="25"/>
      <c r="R44" s="40"/>
      <c r="S44" s="40"/>
      <c r="T44" s="40"/>
      <c r="U44" s="40"/>
      <c r="V44" s="40"/>
    </row>
    <row r="45" spans="1:22" hidden="1" x14ac:dyDescent="0.2">
      <c r="B45" s="41"/>
      <c r="C45" s="7"/>
      <c r="D45" s="7"/>
      <c r="E45" s="10"/>
      <c r="F45" s="7"/>
      <c r="G45" s="10"/>
      <c r="H45" s="7"/>
      <c r="I45" s="10"/>
      <c r="J45" s="7"/>
      <c r="K45" s="10"/>
      <c r="L45" s="7"/>
      <c r="M45" s="10"/>
      <c r="N45" s="10">
        <f t="shared" si="13"/>
        <v>0</v>
      </c>
      <c r="O45" s="8"/>
      <c r="P45" s="40"/>
      <c r="Q45" s="25"/>
      <c r="R45" s="40"/>
      <c r="S45" s="40"/>
      <c r="T45" s="40"/>
      <c r="U45" s="40"/>
      <c r="V45" s="40"/>
    </row>
    <row r="46" spans="1:22" x14ac:dyDescent="0.2">
      <c r="B46" s="41" t="s">
        <v>93</v>
      </c>
      <c r="C46" s="7"/>
      <c r="D46" s="12">
        <f>[6]Sheet1!G$95</f>
        <v>74200</v>
      </c>
      <c r="E46" s="10"/>
      <c r="F46" s="12">
        <f>[6]Sheet1!J$95</f>
        <v>97500</v>
      </c>
      <c r="G46" s="10"/>
      <c r="H46" s="12">
        <f>[6]Sheet1!M$95</f>
        <v>103300</v>
      </c>
      <c r="I46" s="10"/>
      <c r="J46" s="12">
        <f>[6]Sheet1!P$95</f>
        <v>114800</v>
      </c>
      <c r="K46" s="10"/>
      <c r="L46" s="12">
        <f>[6]Sheet1!S$95</f>
        <v>121100</v>
      </c>
      <c r="M46" s="10"/>
      <c r="N46" s="12">
        <f t="shared" si="13"/>
        <v>510900</v>
      </c>
      <c r="O46" s="8"/>
      <c r="P46" s="40"/>
      <c r="Q46" s="25"/>
      <c r="R46" s="40"/>
      <c r="S46" s="40"/>
      <c r="T46" s="40"/>
      <c r="U46" s="40"/>
      <c r="V46" s="40"/>
    </row>
    <row r="47" spans="1:22" x14ac:dyDescent="0.2">
      <c r="B47" s="2" t="s">
        <v>26</v>
      </c>
      <c r="C47" s="7"/>
      <c r="D47" s="7">
        <f>SUM(D37:D46)</f>
        <v>17764935900</v>
      </c>
      <c r="E47" s="10"/>
      <c r="F47" s="7">
        <f>SUM(F37:F46)</f>
        <v>18968591800</v>
      </c>
      <c r="G47" s="10"/>
      <c r="H47" s="7">
        <f>SUM(H37:H46)</f>
        <v>20149661600</v>
      </c>
      <c r="I47" s="10"/>
      <c r="J47" s="7">
        <f>SUM(J37:J46)</f>
        <v>21583822800</v>
      </c>
      <c r="K47" s="10"/>
      <c r="L47" s="7">
        <f>SUM(L37:L46)</f>
        <v>23295282600</v>
      </c>
      <c r="M47" s="10"/>
      <c r="N47" s="7">
        <f>SUM(N37:N46)</f>
        <v>101762294700</v>
      </c>
      <c r="O47" s="8"/>
      <c r="P47" s="25"/>
      <c r="Q47" s="8"/>
      <c r="R47" s="8"/>
    </row>
    <row r="48" spans="1:22" x14ac:dyDescent="0.2">
      <c r="C48" s="7"/>
      <c r="D48" s="7"/>
      <c r="E48" s="10"/>
      <c r="F48" s="7"/>
      <c r="G48" s="10"/>
      <c r="H48" s="7"/>
      <c r="I48" s="10"/>
      <c r="J48" s="7"/>
      <c r="K48" s="10"/>
      <c r="L48" s="7"/>
      <c r="M48" s="10"/>
      <c r="N48" s="7"/>
      <c r="O48" s="8"/>
      <c r="P48" s="31"/>
    </row>
    <row r="49" spans="1:24" x14ac:dyDescent="0.2">
      <c r="B49" s="2" t="s">
        <v>27</v>
      </c>
      <c r="C49" s="7"/>
      <c r="D49" s="12">
        <f>D31</f>
        <v>70805285.714285716</v>
      </c>
      <c r="E49" s="10"/>
      <c r="F49" s="12">
        <f>F31</f>
        <v>74800142.857142866</v>
      </c>
      <c r="G49" s="10"/>
      <c r="H49" s="12">
        <f>H31</f>
        <v>78885142.857142866</v>
      </c>
      <c r="I49" s="10"/>
      <c r="J49" s="12">
        <f>J31</f>
        <v>83062142.857142866</v>
      </c>
      <c r="K49" s="10"/>
      <c r="L49" s="12">
        <f>L31</f>
        <v>87460300</v>
      </c>
      <c r="M49" s="10"/>
      <c r="N49" s="12">
        <f>SUM(D49:L49)</f>
        <v>395013014.28571433</v>
      </c>
      <c r="P49" s="32"/>
    </row>
    <row r="50" spans="1:24" x14ac:dyDescent="0.2">
      <c r="C50" s="7"/>
      <c r="D50" s="7"/>
      <c r="E50" s="10"/>
      <c r="F50" s="7"/>
      <c r="G50" s="10"/>
      <c r="H50" s="7"/>
      <c r="I50" s="10"/>
      <c r="J50" s="7"/>
      <c r="K50" s="10"/>
      <c r="L50" s="7"/>
      <c r="M50" s="10"/>
      <c r="N50" s="7"/>
      <c r="P50" s="31"/>
    </row>
    <row r="51" spans="1:24" ht="13.5" thickBot="1" x14ac:dyDescent="0.25">
      <c r="A51" s="2" t="s">
        <v>28</v>
      </c>
      <c r="C51" s="7"/>
      <c r="D51" s="27">
        <f>D49+D47</f>
        <v>17835741185.714287</v>
      </c>
      <c r="E51" s="10"/>
      <c r="F51" s="27">
        <f>F49+F47</f>
        <v>19043391942.857143</v>
      </c>
      <c r="G51" s="10"/>
      <c r="H51" s="27">
        <f>H49+H47</f>
        <v>20228546742.857143</v>
      </c>
      <c r="I51" s="10"/>
      <c r="J51" s="27">
        <f>J49+J47</f>
        <v>21666884942.857143</v>
      </c>
      <c r="K51" s="10"/>
      <c r="L51" s="27">
        <f>L49+L47</f>
        <v>23382742900</v>
      </c>
      <c r="M51" s="10"/>
      <c r="N51" s="27">
        <f>N49+N47</f>
        <v>102157307714.28572</v>
      </c>
      <c r="P51" s="25"/>
    </row>
    <row r="52" spans="1:24" x14ac:dyDescent="0.2">
      <c r="C52" s="7"/>
      <c r="D52" s="8"/>
      <c r="E52" s="25"/>
      <c r="F52" s="8"/>
      <c r="G52" s="25"/>
      <c r="H52" s="8"/>
      <c r="I52" s="25"/>
      <c r="J52" s="8"/>
      <c r="K52" s="25"/>
      <c r="L52" s="8"/>
      <c r="M52" s="25"/>
      <c r="N52" s="8"/>
      <c r="P52" s="24"/>
    </row>
    <row r="53" spans="1:24" x14ac:dyDescent="0.2">
      <c r="A53" s="2" t="s">
        <v>29</v>
      </c>
      <c r="C53" s="7"/>
      <c r="D53" s="20"/>
      <c r="E53" s="43"/>
      <c r="F53" s="20"/>
      <c r="G53" s="43"/>
      <c r="H53" s="20"/>
      <c r="I53" s="43"/>
      <c r="J53" s="20"/>
      <c r="K53" s="43"/>
      <c r="L53" s="20"/>
      <c r="M53" s="43"/>
      <c r="N53" s="10"/>
    </row>
    <row r="54" spans="1:24" x14ac:dyDescent="0.2">
      <c r="B54" s="2" t="s">
        <v>10</v>
      </c>
      <c r="C54" s="7"/>
      <c r="D54" s="23">
        <f>'AHCCCS 2017-2021'!L54*(1+D$70)</f>
        <v>406.20767772648861</v>
      </c>
      <c r="E54" s="48"/>
      <c r="F54" s="23">
        <f>D54*(1+F$70)</f>
        <v>424.89323090190709</v>
      </c>
      <c r="G54" s="48"/>
      <c r="H54" s="23">
        <f>F54*(1+H$70)</f>
        <v>442.31385336888525</v>
      </c>
      <c r="I54" s="48"/>
      <c r="J54" s="23">
        <f>H54*(1+J$70)</f>
        <v>464.87185989069837</v>
      </c>
      <c r="K54" s="48"/>
      <c r="L54" s="23">
        <f>J54*(1+L$70)</f>
        <v>492.29929962424956</v>
      </c>
      <c r="M54" s="48"/>
      <c r="N54" s="2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x14ac:dyDescent="0.2">
      <c r="B55" s="2" t="s">
        <v>11</v>
      </c>
      <c r="C55" s="7"/>
      <c r="D55" s="23">
        <f>'AHCCCS 2017-2021'!L55*(1+D$70)</f>
        <v>1174.8561891243578</v>
      </c>
      <c r="E55" s="48"/>
      <c r="F55" s="23">
        <f t="shared" ref="F55:L59" si="32">D55*(1+F$70)</f>
        <v>1228.8995738240783</v>
      </c>
      <c r="G55" s="48"/>
      <c r="H55" s="23">
        <f t="shared" si="32"/>
        <v>1279.2844563508654</v>
      </c>
      <c r="I55" s="48"/>
      <c r="J55" s="23">
        <f t="shared" si="32"/>
        <v>1344.5279636247594</v>
      </c>
      <c r="K55" s="48"/>
      <c r="L55" s="23">
        <f t="shared" si="32"/>
        <v>1423.8551134786201</v>
      </c>
      <c r="M55" s="48"/>
      <c r="N55" s="2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x14ac:dyDescent="0.2">
      <c r="B56" s="2" t="s">
        <v>13</v>
      </c>
      <c r="C56" s="7"/>
      <c r="D56" s="23">
        <f>'AHCCCS 2017-2021'!L56*(1+D$70)</f>
        <v>4655.9378221434054</v>
      </c>
      <c r="E56" s="48"/>
      <c r="F56" s="23">
        <f t="shared" si="32"/>
        <v>4870.110961962002</v>
      </c>
      <c r="G56" s="48"/>
      <c r="H56" s="23">
        <f t="shared" si="32"/>
        <v>5069.7855114024433</v>
      </c>
      <c r="I56" s="48"/>
      <c r="J56" s="23">
        <f t="shared" si="32"/>
        <v>5328.3445724839676</v>
      </c>
      <c r="K56" s="48"/>
      <c r="L56" s="23">
        <f t="shared" si="32"/>
        <v>5642.7169022605212</v>
      </c>
      <c r="M56" s="48"/>
      <c r="N56" s="2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x14ac:dyDescent="0.2">
      <c r="B57" s="2" t="s">
        <v>14</v>
      </c>
      <c r="C57" s="7"/>
      <c r="D57" s="23">
        <f>'AHCCCS 2017-2021'!L57*(1+D$70)</f>
        <v>5162.6612247644689</v>
      </c>
      <c r="E57" s="48"/>
      <c r="F57" s="23">
        <f t="shared" si="32"/>
        <v>5400.1436411036348</v>
      </c>
      <c r="G57" s="48"/>
      <c r="H57" s="23">
        <f t="shared" si="32"/>
        <v>5621.5495303888838</v>
      </c>
      <c r="I57" s="48"/>
      <c r="J57" s="23">
        <f t="shared" si="32"/>
        <v>5908.2485564387162</v>
      </c>
      <c r="K57" s="48"/>
      <c r="L57" s="23">
        <f t="shared" si="32"/>
        <v>6256.8352212686004</v>
      </c>
      <c r="M57" s="48"/>
      <c r="N57" s="2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 x14ac:dyDescent="0.2">
      <c r="B58" s="41" t="s">
        <v>57</v>
      </c>
      <c r="C58" s="7"/>
      <c r="D58" s="23">
        <f>'AHCCCS 2017-2021'!L58*(1+D$70)</f>
        <v>460.12143542356972</v>
      </c>
      <c r="E58" s="48"/>
      <c r="F58" s="23">
        <f t="shared" si="32"/>
        <v>481.28702145305397</v>
      </c>
      <c r="G58" s="48"/>
      <c r="H58" s="23">
        <f t="shared" si="32"/>
        <v>501.01978933262916</v>
      </c>
      <c r="I58" s="48"/>
      <c r="J58" s="23">
        <f t="shared" si="32"/>
        <v>526.5717985885932</v>
      </c>
      <c r="K58" s="48"/>
      <c r="L58" s="23">
        <f t="shared" si="32"/>
        <v>557.63953470532022</v>
      </c>
      <c r="M58" s="48"/>
      <c r="N58" s="2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24" x14ac:dyDescent="0.2">
      <c r="B59" s="11" t="s">
        <v>16</v>
      </c>
      <c r="C59" s="7"/>
      <c r="D59" s="23">
        <f>'AHCCCS 2017-2021'!L59*(1+D$70)</f>
        <v>914.66093190293941</v>
      </c>
      <c r="E59" s="48"/>
      <c r="F59" s="23">
        <f t="shared" si="32"/>
        <v>956.73533477047465</v>
      </c>
      <c r="G59" s="48"/>
      <c r="H59" s="23">
        <f t="shared" si="32"/>
        <v>995.96148349606403</v>
      </c>
      <c r="I59" s="48"/>
      <c r="J59" s="23">
        <f t="shared" si="32"/>
        <v>1046.7555191543631</v>
      </c>
      <c r="K59" s="48"/>
      <c r="L59" s="23">
        <f t="shared" si="32"/>
        <v>1108.5140947844704</v>
      </c>
      <c r="M59" s="48"/>
      <c r="N59" s="2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24" x14ac:dyDescent="0.2">
      <c r="C60" s="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23"/>
      <c r="O60" s="13"/>
      <c r="P60" s="7"/>
    </row>
    <row r="61" spans="1:24" x14ac:dyDescent="0.2">
      <c r="C61" s="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23"/>
      <c r="O61" s="13"/>
      <c r="P61" s="7"/>
    </row>
    <row r="62" spans="1:24" x14ac:dyDescent="0.2">
      <c r="A62" s="1" t="s">
        <v>52</v>
      </c>
      <c r="C62" s="33">
        <f>'AHCCCS 2017-2021'!D64+'AHCCCS 2017-2021'!F64+'AHCCCS 2017-2021'!H64+'AHCCCS 2017-2021'!J64+'AHCCCS 2017-2021'!L64</f>
        <v>11408934940.754999</v>
      </c>
      <c r="D62" s="7"/>
      <c r="E62" s="10"/>
      <c r="F62" s="7"/>
      <c r="G62" s="10"/>
      <c r="H62" s="7"/>
      <c r="I62" s="10"/>
      <c r="J62" s="7"/>
      <c r="K62" s="10"/>
      <c r="L62" s="7"/>
      <c r="M62" s="10"/>
      <c r="N62" s="7"/>
      <c r="O62" s="8"/>
      <c r="P62" s="7"/>
    </row>
    <row r="63" spans="1:24" x14ac:dyDescent="0.2">
      <c r="A63" s="1" t="s">
        <v>53</v>
      </c>
      <c r="C63" s="7"/>
      <c r="D63" s="7">
        <f>D34-D51</f>
        <v>49221621.661598206</v>
      </c>
      <c r="E63" s="10"/>
      <c r="F63" s="7">
        <f>F34-F51</f>
        <v>66794758.345516205</v>
      </c>
      <c r="G63" s="10"/>
      <c r="H63" s="7">
        <f>H34-H51</f>
        <v>203436398.22774506</v>
      </c>
      <c r="I63" s="10"/>
      <c r="J63" s="7">
        <f>J34-J51</f>
        <v>188755875.72815323</v>
      </c>
      <c r="K63" s="10"/>
      <c r="L63" s="7">
        <f>L34-L51</f>
        <v>-7532936.6499061584</v>
      </c>
      <c r="M63" s="10"/>
      <c r="N63" s="33"/>
      <c r="O63" s="33"/>
      <c r="P63" s="29"/>
      <c r="Q63" s="34"/>
    </row>
    <row r="64" spans="1:24" x14ac:dyDescent="0.2">
      <c r="A64" s="1" t="s">
        <v>54</v>
      </c>
      <c r="C64" s="7"/>
      <c r="D64" s="7">
        <f>IF(D63&gt;0,D63*0.25,0)</f>
        <v>12305405.415399551</v>
      </c>
      <c r="E64" s="10"/>
      <c r="F64" s="7">
        <f>IF(F63&gt;0,F63*0.25,0)</f>
        <v>16698689.586379051</v>
      </c>
      <c r="G64" s="10"/>
      <c r="H64" s="7">
        <f>IF(H63&gt;0,H63*0.25,0)</f>
        <v>50859099.556936264</v>
      </c>
      <c r="I64" s="10"/>
      <c r="J64" s="7">
        <f>IF(J63&gt;0,J63*0.25,0)</f>
        <v>47188968.932038307</v>
      </c>
      <c r="K64" s="10"/>
      <c r="L64" s="7">
        <f>IF(L63&gt;0,L63*0.25,0)</f>
        <v>0</v>
      </c>
      <c r="M64" s="10"/>
      <c r="N64" s="33"/>
      <c r="O64" s="33"/>
      <c r="P64" s="29"/>
      <c r="Q64" s="34"/>
    </row>
    <row r="65" spans="1:17" x14ac:dyDescent="0.2">
      <c r="A65" s="1" t="s">
        <v>55</v>
      </c>
      <c r="C65" s="7"/>
      <c r="D65" s="8">
        <f>IF(D63&gt;0,(C62+D64),(C62+D63))</f>
        <v>11421240346.170399</v>
      </c>
      <c r="E65" s="25"/>
      <c r="F65" s="8">
        <f>IF(F63&gt;0,(D65+F64),(D65+F63))</f>
        <v>11437939035.756779</v>
      </c>
      <c r="G65" s="25"/>
      <c r="H65" s="8">
        <f>IF(H63&gt;0,(F65+H64),(F65+H63))</f>
        <v>11488798135.313715</v>
      </c>
      <c r="I65" s="25"/>
      <c r="J65" s="8">
        <f>IF(J63&gt;0,(H65+J64),(H65+J63))</f>
        <v>11535987104.245754</v>
      </c>
      <c r="K65" s="25"/>
      <c r="L65" s="8">
        <f>IF(L63&gt;0,(J65+L64),(J65+L63))</f>
        <v>11528454167.595848</v>
      </c>
      <c r="M65" s="25"/>
      <c r="N65" s="35">
        <f>L65</f>
        <v>11528454167.595848</v>
      </c>
      <c r="O65" s="35"/>
      <c r="P65" s="7"/>
      <c r="Q65" s="8"/>
    </row>
    <row r="66" spans="1:17" x14ac:dyDescent="0.2">
      <c r="A66" s="1"/>
      <c r="C66" s="7"/>
      <c r="D66" s="8"/>
      <c r="E66" s="25"/>
      <c r="F66" s="8"/>
      <c r="G66" s="25"/>
      <c r="H66" s="8"/>
      <c r="I66" s="25"/>
      <c r="J66" s="8"/>
      <c r="K66" s="25"/>
      <c r="L66" s="8"/>
      <c r="M66" s="25"/>
      <c r="N66" s="8"/>
      <c r="O66" s="8"/>
      <c r="P66" s="7"/>
    </row>
    <row r="67" spans="1:17" hidden="1" x14ac:dyDescent="0.2">
      <c r="A67" s="41" t="s">
        <v>48</v>
      </c>
      <c r="C67" s="7"/>
      <c r="D67" s="8"/>
      <c r="E67" s="25"/>
      <c r="F67" s="8"/>
      <c r="G67" s="25"/>
      <c r="H67" s="8"/>
      <c r="I67" s="25"/>
      <c r="J67" s="8"/>
      <c r="K67" s="25"/>
      <c r="L67" s="8"/>
      <c r="M67" s="25"/>
      <c r="N67" s="8"/>
      <c r="O67" s="8"/>
      <c r="P67" s="7"/>
    </row>
    <row r="68" spans="1:17" hidden="1" x14ac:dyDescent="0.2">
      <c r="A68" s="1"/>
      <c r="B68" s="2" t="s">
        <v>49</v>
      </c>
      <c r="C68" s="7"/>
      <c r="D68" s="36">
        <v>0.02</v>
      </c>
      <c r="E68" s="10"/>
      <c r="F68" s="36">
        <v>0.02</v>
      </c>
      <c r="G68" s="10"/>
      <c r="H68" s="36">
        <v>0.02</v>
      </c>
      <c r="I68" s="10"/>
      <c r="J68" s="36">
        <v>0.02</v>
      </c>
      <c r="K68" s="10"/>
      <c r="L68" s="36">
        <v>0.02</v>
      </c>
      <c r="M68" s="10"/>
      <c r="N68" s="7"/>
      <c r="O68" s="7"/>
      <c r="P68" s="7"/>
    </row>
    <row r="69" spans="1:17" hidden="1" x14ac:dyDescent="0.2">
      <c r="A69" s="1"/>
      <c r="B69" s="2" t="s">
        <v>50</v>
      </c>
      <c r="C69" s="7"/>
      <c r="D69" s="36"/>
      <c r="E69" s="10"/>
      <c r="F69" s="36"/>
      <c r="G69" s="10"/>
      <c r="H69" s="36"/>
      <c r="I69" s="10"/>
      <c r="J69" s="36"/>
      <c r="K69" s="10"/>
      <c r="L69" s="36"/>
      <c r="M69" s="10"/>
      <c r="N69" s="7"/>
      <c r="O69" s="7"/>
      <c r="P69" s="7"/>
    </row>
    <row r="70" spans="1:17" hidden="1" x14ac:dyDescent="0.2">
      <c r="A70" s="1"/>
      <c r="B70" s="2" t="s">
        <v>51</v>
      </c>
      <c r="C70" s="7"/>
      <c r="D70" s="36">
        <v>4.2000000000000003E-2</v>
      </c>
      <c r="E70" s="10"/>
      <c r="F70" s="36">
        <v>4.5999999999999999E-2</v>
      </c>
      <c r="G70" s="10"/>
      <c r="H70" s="36">
        <v>4.1000000000000002E-2</v>
      </c>
      <c r="I70" s="10"/>
      <c r="J70" s="36">
        <v>5.0999999999999997E-2</v>
      </c>
      <c r="K70" s="10"/>
      <c r="L70" s="36">
        <v>5.8999999999999997E-2</v>
      </c>
      <c r="M70" s="10"/>
      <c r="N70" s="13"/>
      <c r="O70" s="7"/>
      <c r="P70" s="7"/>
    </row>
    <row r="71" spans="1:17" x14ac:dyDescent="0.2">
      <c r="A71" s="1"/>
      <c r="B71" s="41"/>
      <c r="C71" s="7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7"/>
    </row>
    <row r="72" spans="1:17" x14ac:dyDescent="0.2">
      <c r="A72" s="1"/>
      <c r="B72" s="41"/>
      <c r="C72" s="7"/>
      <c r="D72" s="17"/>
      <c r="E72" s="10"/>
      <c r="F72" s="17"/>
      <c r="G72" s="10"/>
      <c r="H72" s="17"/>
      <c r="I72" s="10"/>
      <c r="J72" s="17"/>
      <c r="K72" s="10"/>
      <c r="L72" s="17"/>
      <c r="M72" s="10"/>
      <c r="N72" s="10"/>
      <c r="O72" s="10"/>
      <c r="P72" s="7"/>
    </row>
    <row r="73" spans="1:17" x14ac:dyDescent="0.2">
      <c r="A73" s="1"/>
      <c r="C73" s="7"/>
      <c r="D73" s="10"/>
      <c r="E73" s="10"/>
      <c r="F73" s="49"/>
      <c r="G73" s="10"/>
      <c r="H73" s="49"/>
      <c r="I73" s="10"/>
      <c r="J73" s="49"/>
      <c r="K73" s="10"/>
      <c r="L73" s="49"/>
      <c r="M73" s="10"/>
      <c r="N73" s="10"/>
      <c r="O73" s="10"/>
      <c r="P73" s="7"/>
    </row>
    <row r="74" spans="1:17" x14ac:dyDescent="0.2">
      <c r="A74" s="11"/>
      <c r="C74" s="7"/>
      <c r="D74" s="8"/>
      <c r="E74" s="25"/>
      <c r="F74" s="8"/>
      <c r="G74" s="25"/>
      <c r="H74" s="8"/>
      <c r="I74" s="25"/>
      <c r="J74" s="8"/>
      <c r="K74" s="25"/>
      <c r="L74" s="8"/>
      <c r="M74" s="25"/>
      <c r="N74" s="8"/>
      <c r="P74" s="8"/>
    </row>
    <row r="75" spans="1:17" x14ac:dyDescent="0.2">
      <c r="A75" s="1"/>
      <c r="C75" s="36"/>
      <c r="D75" s="36"/>
      <c r="E75" s="49"/>
      <c r="F75" s="36"/>
      <c r="G75" s="49"/>
      <c r="H75" s="36"/>
      <c r="I75" s="49"/>
      <c r="J75" s="36"/>
      <c r="K75" s="49"/>
      <c r="L75" s="36"/>
      <c r="M75" s="49"/>
      <c r="N75" s="7"/>
      <c r="P75" s="8"/>
    </row>
    <row r="76" spans="1:17" x14ac:dyDescent="0.2">
      <c r="A76" s="1"/>
      <c r="C76" s="36"/>
      <c r="D76" s="23"/>
      <c r="E76" s="36"/>
      <c r="F76" s="23"/>
      <c r="G76" s="36"/>
      <c r="H76" s="23"/>
      <c r="I76" s="36"/>
      <c r="J76" s="23"/>
      <c r="K76" s="36"/>
      <c r="L76" s="23"/>
      <c r="M76" s="36"/>
      <c r="N76" s="36"/>
      <c r="P76" s="8"/>
    </row>
    <row r="77" spans="1:17" x14ac:dyDescent="0.2">
      <c r="A77" s="1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P77" s="8"/>
    </row>
    <row r="78" spans="1:17" x14ac:dyDescent="0.2">
      <c r="A78" s="1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P78" s="8"/>
    </row>
    <row r="79" spans="1:17" x14ac:dyDescent="0.2">
      <c r="A79" s="1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P79" s="8"/>
    </row>
    <row r="80" spans="1:17" x14ac:dyDescent="0.2"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1:14" x14ac:dyDescent="0.2"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8"/>
    </row>
    <row r="82" spans="1:14" x14ac:dyDescent="0.2"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</row>
    <row r="83" spans="1:14" x14ac:dyDescent="0.2"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</row>
    <row r="84" spans="1:14" x14ac:dyDescent="0.2"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</row>
    <row r="85" spans="1:14" x14ac:dyDescent="0.2"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</row>
    <row r="88" spans="1:14" hidden="1" x14ac:dyDescent="0.2">
      <c r="A88" s="2" t="s">
        <v>33</v>
      </c>
      <c r="C88" s="7"/>
      <c r="D88" s="7" t="e">
        <f>#REF!</f>
        <v>#REF!</v>
      </c>
      <c r="E88" s="7"/>
      <c r="F88" s="7" t="e">
        <f>#REF!</f>
        <v>#REF!</v>
      </c>
      <c r="G88" s="7"/>
      <c r="H88" s="7" t="e">
        <f>#REF!+#REF!</f>
        <v>#REF!</v>
      </c>
      <c r="I88" s="7"/>
      <c r="J88" s="7"/>
      <c r="K88" s="7"/>
      <c r="L88" s="7"/>
      <c r="M88" s="7"/>
      <c r="N88" s="8"/>
    </row>
    <row r="89" spans="1:14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4" x14ac:dyDescent="0.2"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4" hidden="1" x14ac:dyDescent="0.2">
      <c r="A91" s="2">
        <v>1</v>
      </c>
      <c r="D91" s="7"/>
      <c r="E91" s="7"/>
      <c r="F91" s="7"/>
      <c r="G91" s="7"/>
      <c r="H91" s="7"/>
      <c r="I91" s="7"/>
      <c r="J91" s="7"/>
      <c r="K91" s="7"/>
      <c r="L91" s="7"/>
      <c r="M91" s="7"/>
    </row>
    <row r="95" spans="1:14" x14ac:dyDescent="0.2"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4" x14ac:dyDescent="0.2"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4:13" x14ac:dyDescent="0.2"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4:13" x14ac:dyDescent="0.2"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4:13" x14ac:dyDescent="0.2"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9" spans="4:13" x14ac:dyDescent="0.2"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4:13" x14ac:dyDescent="0.2"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4:13" x14ac:dyDescent="0.2"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4:13" x14ac:dyDescent="0.2"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4:13" x14ac:dyDescent="0.2">
      <c r="D113" s="8"/>
      <c r="E113" s="8"/>
      <c r="F113" s="8"/>
      <c r="G113" s="8"/>
      <c r="H113" s="8"/>
      <c r="I113" s="8"/>
      <c r="J113" s="8"/>
      <c r="K113" s="8"/>
      <c r="L113" s="8"/>
      <c r="M113" s="8"/>
    </row>
  </sheetData>
  <printOptions horizontalCentered="1"/>
  <pageMargins left="0.7" right="0.7" top="1.25" bottom="0.5" header="0.3" footer="0.3"/>
  <pageSetup scale="57" orientation="portrait" r:id="rId1"/>
  <headerFooter alignWithMargins="0">
    <oddHeader xml:space="preserve">&amp;C&amp;"Arial,Bold"Arizona Health Care Cost Containment System
Budget Neutrality Status by Federal Fiscal Year
Total Funds - All Populations
For the Period October 1, 2021 - September 30, 2026
Updated 9/20
</oddHeader>
    <oddFooter>&amp;L&amp;8 DBF  &amp;D    &amp;T&amp;R&amp;8S:\BUD\SHARE\FY22 Prog\Budget Neutrality - Waiver Updates\2012-2026 BN Update - Future Model - Initial Public Notice.xlsx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33"/>
  <sheetViews>
    <sheetView tabSelected="1" workbookViewId="0">
      <selection activeCell="A32" sqref="A32"/>
    </sheetView>
  </sheetViews>
  <sheetFormatPr defaultRowHeight="12.75" x14ac:dyDescent="0.2"/>
  <cols>
    <col min="1" max="1" width="3.85546875" customWidth="1"/>
    <col min="2" max="2" width="5.28515625" customWidth="1"/>
    <col min="9" max="9" width="12" bestFit="1" customWidth="1"/>
  </cols>
  <sheetData>
    <row r="1" spans="1:9" x14ac:dyDescent="0.2">
      <c r="A1" s="66" t="s">
        <v>56</v>
      </c>
      <c r="B1" s="66"/>
      <c r="C1" s="66"/>
      <c r="D1" s="66"/>
      <c r="E1" s="66"/>
      <c r="F1" s="66"/>
      <c r="G1" s="66"/>
      <c r="H1" s="66"/>
      <c r="I1" s="66"/>
    </row>
    <row r="2" spans="1:9" x14ac:dyDescent="0.2">
      <c r="A2" s="66" t="s">
        <v>77</v>
      </c>
      <c r="B2" s="66"/>
      <c r="C2" s="66"/>
      <c r="D2" s="66"/>
      <c r="E2" s="66"/>
      <c r="F2" s="66"/>
      <c r="G2" s="66"/>
      <c r="H2" s="66"/>
      <c r="I2" s="66"/>
    </row>
    <row r="3" spans="1:9" x14ac:dyDescent="0.2">
      <c r="A3" s="57"/>
      <c r="B3" s="57"/>
      <c r="C3" s="57"/>
      <c r="D3" s="57"/>
      <c r="E3" s="57"/>
      <c r="F3" s="57"/>
      <c r="G3" s="57"/>
      <c r="H3" s="57"/>
      <c r="I3" s="57"/>
    </row>
    <row r="4" spans="1:9" x14ac:dyDescent="0.2">
      <c r="A4" s="63" t="s">
        <v>87</v>
      </c>
      <c r="B4" s="57"/>
      <c r="C4" s="57"/>
      <c r="D4" s="57"/>
      <c r="E4" s="57"/>
      <c r="F4" s="57"/>
      <c r="G4" s="57"/>
      <c r="H4" s="57"/>
      <c r="I4" s="57"/>
    </row>
    <row r="5" spans="1:9" x14ac:dyDescent="0.2">
      <c r="A5" s="52" t="s">
        <v>88</v>
      </c>
    </row>
    <row r="6" spans="1:9" x14ac:dyDescent="0.2">
      <c r="A6" s="52"/>
    </row>
    <row r="7" spans="1:9" x14ac:dyDescent="0.2">
      <c r="A7" s="52" t="s">
        <v>89</v>
      </c>
    </row>
    <row r="8" spans="1:9" x14ac:dyDescent="0.2">
      <c r="B8" s="51" t="s">
        <v>84</v>
      </c>
    </row>
    <row r="9" spans="1:9" x14ac:dyDescent="0.2">
      <c r="B9" s="51"/>
    </row>
    <row r="10" spans="1:9" x14ac:dyDescent="0.2">
      <c r="B10" s="51" t="s">
        <v>92</v>
      </c>
    </row>
    <row r="11" spans="1:9" x14ac:dyDescent="0.2">
      <c r="B11" s="51"/>
    </row>
    <row r="12" spans="1:9" x14ac:dyDescent="0.2">
      <c r="B12" s="51" t="s">
        <v>91</v>
      </c>
    </row>
    <row r="13" spans="1:9" x14ac:dyDescent="0.2">
      <c r="B13" s="51"/>
    </row>
    <row r="14" spans="1:9" x14ac:dyDescent="0.2">
      <c r="B14" s="51" t="s">
        <v>94</v>
      </c>
    </row>
    <row r="15" spans="1:9" x14ac:dyDescent="0.2">
      <c r="B15" s="51" t="s">
        <v>95</v>
      </c>
    </row>
    <row r="16" spans="1:9" x14ac:dyDescent="0.2">
      <c r="B16" s="51"/>
    </row>
    <row r="17" spans="1:7" x14ac:dyDescent="0.2">
      <c r="B17" s="51"/>
    </row>
    <row r="18" spans="1:7" x14ac:dyDescent="0.2">
      <c r="A18" s="52" t="s">
        <v>90</v>
      </c>
    </row>
    <row r="19" spans="1:7" x14ac:dyDescent="0.2">
      <c r="B19" s="51" t="s">
        <v>85</v>
      </c>
    </row>
    <row r="20" spans="1:7" x14ac:dyDescent="0.2">
      <c r="B20" s="51"/>
    </row>
    <row r="21" spans="1:7" x14ac:dyDescent="0.2">
      <c r="B21" s="51" t="s">
        <v>86</v>
      </c>
    </row>
    <row r="22" spans="1:7" x14ac:dyDescent="0.2">
      <c r="B22" s="51"/>
    </row>
    <row r="23" spans="1:7" x14ac:dyDescent="0.2">
      <c r="B23" s="51"/>
      <c r="C23" s="64" t="s">
        <v>99</v>
      </c>
      <c r="D23" s="64" t="s">
        <v>100</v>
      </c>
      <c r="E23" s="64" t="s">
        <v>101</v>
      </c>
      <c r="F23" s="64" t="s">
        <v>102</v>
      </c>
      <c r="G23" s="64" t="s">
        <v>103</v>
      </c>
    </row>
    <row r="24" spans="1:7" x14ac:dyDescent="0.2">
      <c r="B24" s="51"/>
      <c r="C24" s="65">
        <v>4.7262693688677304E-2</v>
      </c>
      <c r="D24" s="65">
        <v>4.7601811197623967E-2</v>
      </c>
      <c r="E24" s="65">
        <v>4.8259124350330307E-2</v>
      </c>
      <c r="F24" s="65">
        <v>4.8767385201978319E-2</v>
      </c>
      <c r="G24" s="65">
        <v>4.8618423245537334E-2</v>
      </c>
    </row>
    <row r="25" spans="1:7" x14ac:dyDescent="0.2">
      <c r="B25" s="51"/>
    </row>
    <row r="26" spans="1:7" x14ac:dyDescent="0.2">
      <c r="B26" s="51" t="s">
        <v>97</v>
      </c>
    </row>
    <row r="27" spans="1:7" x14ac:dyDescent="0.2">
      <c r="B27" s="51" t="s">
        <v>98</v>
      </c>
    </row>
    <row r="28" spans="1:7" x14ac:dyDescent="0.2">
      <c r="B28" s="51"/>
    </row>
    <row r="29" spans="1:7" x14ac:dyDescent="0.2">
      <c r="B29" s="51"/>
      <c r="C29" s="64" t="s">
        <v>99</v>
      </c>
      <c r="D29" s="64" t="s">
        <v>100</v>
      </c>
      <c r="E29" s="64" t="s">
        <v>101</v>
      </c>
      <c r="F29" s="64" t="s">
        <v>102</v>
      </c>
      <c r="G29" s="64" t="s">
        <v>103</v>
      </c>
    </row>
    <row r="30" spans="1:7" x14ac:dyDescent="0.2">
      <c r="B30" s="51"/>
      <c r="C30" s="65">
        <v>4.2000000000000003E-2</v>
      </c>
      <c r="D30" s="65">
        <v>4.5999999999999999E-2</v>
      </c>
      <c r="E30" s="65">
        <v>4.1000000000000002E-2</v>
      </c>
      <c r="F30" s="65">
        <v>5.0999999999999997E-2</v>
      </c>
      <c r="G30" s="65">
        <v>5.8999999999999997E-2</v>
      </c>
    </row>
    <row r="31" spans="1:7" x14ac:dyDescent="0.2">
      <c r="B31" s="51"/>
    </row>
    <row r="32" spans="1:7" x14ac:dyDescent="0.2">
      <c r="B32" s="51" t="s">
        <v>104</v>
      </c>
    </row>
    <row r="33" spans="2:2" x14ac:dyDescent="0.2">
      <c r="B33" s="51" t="s">
        <v>96</v>
      </c>
    </row>
  </sheetData>
  <mergeCells count="2">
    <mergeCell ref="A1:I1"/>
    <mergeCell ref="A2:I2"/>
  </mergeCells>
  <pageMargins left="0.7" right="0.7" top="0.75" bottom="0.75" header="0.3" footer="0.3"/>
  <pageSetup orientation="portrait" r:id="rId1"/>
  <headerFooter>
    <oddFooter>&amp;L&amp;8 DBF  &amp;D    &amp;T&amp;R&amp;8S:\BUD\SHARE\FY22 Prog\Budget Neutrality - Waiver Updates\2012-2026 BN Update - Future Model - Initial Public Notice.xlsx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L58"/>
  <sheetViews>
    <sheetView topLeftCell="A15" workbookViewId="0">
      <selection activeCell="C38" sqref="C38"/>
    </sheetView>
  </sheetViews>
  <sheetFormatPr defaultRowHeight="12.75" x14ac:dyDescent="0.2"/>
  <cols>
    <col min="2" max="10" width="18.7109375" bestFit="1" customWidth="1"/>
    <col min="12" max="12" width="11" bestFit="1" customWidth="1"/>
  </cols>
  <sheetData>
    <row r="4" spans="1:12" x14ac:dyDescent="0.2">
      <c r="A4" t="s">
        <v>60</v>
      </c>
    </row>
    <row r="6" spans="1:12" x14ac:dyDescent="0.2">
      <c r="A6" s="56" t="s">
        <v>58</v>
      </c>
    </row>
    <row r="9" spans="1:12" x14ac:dyDescent="0.2">
      <c r="B9" s="54">
        <v>2019</v>
      </c>
      <c r="C9" s="54">
        <v>2020</v>
      </c>
      <c r="D9" s="54">
        <v>2021</v>
      </c>
      <c r="E9" s="54">
        <v>2022</v>
      </c>
      <c r="F9" s="54">
        <v>2023</v>
      </c>
      <c r="G9" s="54">
        <v>2024</v>
      </c>
      <c r="H9" s="54">
        <v>2025</v>
      </c>
      <c r="I9" s="54">
        <v>2026</v>
      </c>
      <c r="J9" s="54">
        <v>2027</v>
      </c>
    </row>
    <row r="10" spans="1:12" x14ac:dyDescent="0.2">
      <c r="A10" t="s">
        <v>59</v>
      </c>
      <c r="B10" s="53">
        <v>409</v>
      </c>
      <c r="C10" s="53">
        <v>447</v>
      </c>
      <c r="D10" s="53">
        <v>452</v>
      </c>
      <c r="E10" s="53">
        <v>474</v>
      </c>
      <c r="F10" s="53">
        <v>502</v>
      </c>
      <c r="G10" s="53">
        <v>526</v>
      </c>
      <c r="H10" s="53">
        <v>556</v>
      </c>
      <c r="I10" s="53">
        <v>594</v>
      </c>
      <c r="J10" s="53">
        <v>628</v>
      </c>
      <c r="L10">
        <v>1000000000</v>
      </c>
    </row>
    <row r="12" spans="1:12" x14ac:dyDescent="0.2">
      <c r="C12" s="55">
        <f>C10/B10-1</f>
        <v>9.2909535452322833E-2</v>
      </c>
      <c r="D12" s="55">
        <f t="shared" ref="D12:J12" si="0">D10/C10-1</f>
        <v>1.1185682326621871E-2</v>
      </c>
      <c r="E12" s="55">
        <f t="shared" si="0"/>
        <v>4.8672566371681381E-2</v>
      </c>
      <c r="F12" s="55">
        <f t="shared" si="0"/>
        <v>5.9071729957805852E-2</v>
      </c>
      <c r="G12" s="55">
        <f t="shared" si="0"/>
        <v>4.7808764940239001E-2</v>
      </c>
      <c r="H12" s="55">
        <f t="shared" si="0"/>
        <v>5.7034220532319324E-2</v>
      </c>
      <c r="I12" s="55">
        <f t="shared" si="0"/>
        <v>6.8345323741007213E-2</v>
      </c>
      <c r="J12" s="55">
        <f t="shared" si="0"/>
        <v>5.7239057239057312E-2</v>
      </c>
    </row>
    <row r="17" spans="1:8" x14ac:dyDescent="0.2">
      <c r="A17" t="s">
        <v>61</v>
      </c>
    </row>
    <row r="18" spans="1:8" x14ac:dyDescent="0.2">
      <c r="C18" s="54" t="s">
        <v>62</v>
      </c>
      <c r="D18" s="54" t="s">
        <v>63</v>
      </c>
      <c r="E18" s="54" t="s">
        <v>64</v>
      </c>
      <c r="F18" s="54" t="s">
        <v>65</v>
      </c>
      <c r="G18" s="54" t="s">
        <v>66</v>
      </c>
      <c r="H18" s="54" t="s">
        <v>67</v>
      </c>
    </row>
    <row r="19" spans="1:8" x14ac:dyDescent="0.2">
      <c r="B19">
        <v>2021</v>
      </c>
      <c r="C19">
        <v>16208</v>
      </c>
      <c r="D19">
        <v>22660</v>
      </c>
      <c r="E19">
        <v>4442</v>
      </c>
      <c r="F19">
        <v>6198</v>
      </c>
      <c r="G19">
        <v>6874</v>
      </c>
      <c r="H19">
        <v>8908</v>
      </c>
    </row>
    <row r="20" spans="1:8" x14ac:dyDescent="0.2">
      <c r="B20">
        <v>2022</v>
      </c>
      <c r="C20">
        <v>16920</v>
      </c>
      <c r="D20">
        <v>23755</v>
      </c>
      <c r="E20">
        <v>4656</v>
      </c>
      <c r="F20">
        <v>6491</v>
      </c>
      <c r="G20">
        <v>7199</v>
      </c>
      <c r="H20">
        <v>9344</v>
      </c>
    </row>
    <row r="21" spans="1:8" x14ac:dyDescent="0.2">
      <c r="B21">
        <v>2023</v>
      </c>
      <c r="C21">
        <v>17602</v>
      </c>
      <c r="D21">
        <v>24953</v>
      </c>
      <c r="E21">
        <v>4882</v>
      </c>
      <c r="F21">
        <v>6800</v>
      </c>
      <c r="G21">
        <v>7543</v>
      </c>
      <c r="H21">
        <v>9807</v>
      </c>
    </row>
    <row r="22" spans="1:8" x14ac:dyDescent="0.2">
      <c r="B22">
        <v>2024</v>
      </c>
      <c r="C22">
        <v>18334</v>
      </c>
      <c r="D22">
        <v>26232</v>
      </c>
      <c r="E22">
        <v>5121</v>
      </c>
      <c r="F22">
        <v>7128</v>
      </c>
      <c r="G22">
        <v>7906</v>
      </c>
      <c r="H22">
        <v>10301</v>
      </c>
    </row>
    <row r="23" spans="1:8" x14ac:dyDescent="0.2">
      <c r="B23">
        <v>2025</v>
      </c>
      <c r="C23">
        <v>19102</v>
      </c>
      <c r="D23">
        <v>27587</v>
      </c>
      <c r="E23">
        <v>5374</v>
      </c>
      <c r="F23">
        <v>7476</v>
      </c>
      <c r="G23">
        <v>8292</v>
      </c>
      <c r="H23">
        <v>10825</v>
      </c>
    </row>
    <row r="24" spans="1:8" x14ac:dyDescent="0.2">
      <c r="B24">
        <v>2026</v>
      </c>
      <c r="C24">
        <v>19895</v>
      </c>
      <c r="D24">
        <v>29008</v>
      </c>
      <c r="E24">
        <v>5638</v>
      </c>
      <c r="F24">
        <v>7840</v>
      </c>
      <c r="G24">
        <v>8697</v>
      </c>
      <c r="H24">
        <v>11375</v>
      </c>
    </row>
    <row r="26" spans="1:8" x14ac:dyDescent="0.2">
      <c r="B26">
        <v>2022</v>
      </c>
      <c r="C26" s="55">
        <f>C20/C19-1</f>
        <v>4.3928923988153956E-2</v>
      </c>
      <c r="D26" s="55">
        <f t="shared" ref="D26:H26" si="1">D20/D19-1</f>
        <v>4.8323036187113866E-2</v>
      </c>
      <c r="E26" s="55">
        <f t="shared" si="1"/>
        <v>4.8176497073390445E-2</v>
      </c>
      <c r="F26" s="55">
        <f t="shared" si="1"/>
        <v>4.7273313972249209E-2</v>
      </c>
      <c r="G26" s="55">
        <f t="shared" si="1"/>
        <v>4.7279604306080802E-2</v>
      </c>
      <c r="H26" s="55">
        <f t="shared" si="1"/>
        <v>4.8944768747193557E-2</v>
      </c>
    </row>
    <row r="27" spans="1:8" x14ac:dyDescent="0.2">
      <c r="B27">
        <v>2023</v>
      </c>
      <c r="C27" s="55">
        <f t="shared" ref="C27:H30" si="2">C21/C20-1</f>
        <v>4.0307328605200921E-2</v>
      </c>
      <c r="D27" s="55">
        <f t="shared" si="2"/>
        <v>5.0431488107766764E-2</v>
      </c>
      <c r="E27" s="55">
        <f t="shared" si="2"/>
        <v>4.8539518900343692E-2</v>
      </c>
      <c r="F27" s="55">
        <f t="shared" si="2"/>
        <v>4.7604375288861522E-2</v>
      </c>
      <c r="G27" s="55">
        <f t="shared" si="2"/>
        <v>4.7784414502014094E-2</v>
      </c>
      <c r="H27" s="55">
        <f t="shared" si="2"/>
        <v>4.9550513698630061E-2</v>
      </c>
    </row>
    <row r="28" spans="1:8" x14ac:dyDescent="0.2">
      <c r="B28">
        <v>2024</v>
      </c>
      <c r="C28" s="55">
        <f t="shared" si="2"/>
        <v>4.1586183388251374E-2</v>
      </c>
      <c r="D28" s="55">
        <f t="shared" si="2"/>
        <v>5.1256361960485775E-2</v>
      </c>
      <c r="E28" s="55">
        <f t="shared" si="2"/>
        <v>4.895534616960262E-2</v>
      </c>
      <c r="F28" s="55">
        <f t="shared" si="2"/>
        <v>4.8235294117647154E-2</v>
      </c>
      <c r="G28" s="55">
        <f t="shared" si="2"/>
        <v>4.8124088558928912E-2</v>
      </c>
      <c r="H28" s="55">
        <f t="shared" si="2"/>
        <v>5.0372183134495874E-2</v>
      </c>
    </row>
    <row r="29" spans="1:8" x14ac:dyDescent="0.2">
      <c r="B29">
        <v>2025</v>
      </c>
      <c r="C29" s="55">
        <f t="shared" si="2"/>
        <v>4.1889385840514937E-2</v>
      </c>
      <c r="D29" s="55">
        <f t="shared" si="2"/>
        <v>5.1654467825556605E-2</v>
      </c>
      <c r="E29" s="55">
        <f t="shared" si="2"/>
        <v>4.9404413200546671E-2</v>
      </c>
      <c r="F29" s="55">
        <f t="shared" si="2"/>
        <v>4.8821548821548877E-2</v>
      </c>
      <c r="G29" s="55">
        <f t="shared" si="2"/>
        <v>4.8823678219074074E-2</v>
      </c>
      <c r="H29" s="55">
        <f t="shared" si="2"/>
        <v>5.0868847684690799E-2</v>
      </c>
    </row>
    <row r="30" spans="1:8" x14ac:dyDescent="0.2">
      <c r="B30">
        <v>2026</v>
      </c>
      <c r="C30" s="55">
        <f t="shared" si="2"/>
        <v>4.1513977593969242E-2</v>
      </c>
      <c r="D30" s="55">
        <f t="shared" si="2"/>
        <v>5.1509769094138624E-2</v>
      </c>
      <c r="E30" s="55">
        <f t="shared" si="2"/>
        <v>4.9125418682545607E-2</v>
      </c>
      <c r="F30" s="55">
        <f t="shared" si="2"/>
        <v>4.8689138576778923E-2</v>
      </c>
      <c r="G30" s="55">
        <f t="shared" si="2"/>
        <v>4.8842257597684569E-2</v>
      </c>
      <c r="H30" s="55">
        <f t="shared" si="2"/>
        <v>5.0808314087759765E-2</v>
      </c>
    </row>
    <row r="32" spans="1:8" x14ac:dyDescent="0.2">
      <c r="C32">
        <v>2022</v>
      </c>
      <c r="D32">
        <v>2023</v>
      </c>
      <c r="E32">
        <v>2024</v>
      </c>
      <c r="F32">
        <v>2025</v>
      </c>
      <c r="G32">
        <v>2026</v>
      </c>
    </row>
    <row r="33" spans="1:9" x14ac:dyDescent="0.2">
      <c r="A33" t="s">
        <v>68</v>
      </c>
      <c r="B33" t="s">
        <v>69</v>
      </c>
      <c r="C33" s="58">
        <f>AVERAGE($E26,$F26)</f>
        <v>4.7724905522819827E-2</v>
      </c>
      <c r="D33" s="58">
        <f>AVERAGE($E27,$F27)</f>
        <v>4.8071947094602607E-2</v>
      </c>
      <c r="E33" s="58">
        <f>AVERAGE($E28,$F28)</f>
        <v>4.8595320143624887E-2</v>
      </c>
      <c r="F33" s="58">
        <f>AVERAGE($E29,$F29)</f>
        <v>4.9112981011047774E-2</v>
      </c>
      <c r="G33" s="58">
        <f>AVERAGE($E30,$F30)</f>
        <v>4.8907278629662265E-2</v>
      </c>
    </row>
    <row r="34" spans="1:9" x14ac:dyDescent="0.2">
      <c r="A34" t="s">
        <v>11</v>
      </c>
      <c r="B34" t="s">
        <v>70</v>
      </c>
      <c r="C34" s="58">
        <f>AVERAGE($C26,$D26)</f>
        <v>4.6125980087633911E-2</v>
      </c>
      <c r="D34" s="58">
        <f>AVERAGE($C27,$D27)</f>
        <v>4.5369408356483842E-2</v>
      </c>
      <c r="E34" s="58">
        <f>AVERAGE($C28,$D28)</f>
        <v>4.6421272674368574E-2</v>
      </c>
      <c r="F34" s="58">
        <f>AVERAGE($C29,$D29)</f>
        <v>4.6771926833035771E-2</v>
      </c>
      <c r="G34" s="58">
        <f>AVERAGE($C30,$D30)</f>
        <v>4.6511873344053933E-2</v>
      </c>
    </row>
    <row r="35" spans="1:9" x14ac:dyDescent="0.2">
      <c r="A35" t="s">
        <v>74</v>
      </c>
      <c r="B35" t="s">
        <v>70</v>
      </c>
      <c r="C35" s="58">
        <f>C34</f>
        <v>4.6125980087633911E-2</v>
      </c>
      <c r="D35" s="58">
        <f t="shared" ref="D35:G35" si="3">D34</f>
        <v>4.5369408356483842E-2</v>
      </c>
      <c r="E35" s="58">
        <f t="shared" si="3"/>
        <v>4.6421272674368574E-2</v>
      </c>
      <c r="F35" s="58">
        <f t="shared" si="3"/>
        <v>4.6771926833035771E-2</v>
      </c>
      <c r="G35" s="58">
        <f t="shared" si="3"/>
        <v>4.6511873344053933E-2</v>
      </c>
    </row>
    <row r="36" spans="1:9" x14ac:dyDescent="0.2">
      <c r="A36" t="s">
        <v>75</v>
      </c>
      <c r="B36" t="s">
        <v>63</v>
      </c>
      <c r="C36" s="58">
        <f>D26</f>
        <v>4.8323036187113866E-2</v>
      </c>
      <c r="D36" s="58">
        <f>D27</f>
        <v>5.0431488107766764E-2</v>
      </c>
      <c r="E36" s="58">
        <f>D28</f>
        <v>5.1256361960485775E-2</v>
      </c>
      <c r="F36" s="58">
        <f>D29</f>
        <v>5.1654467825556605E-2</v>
      </c>
      <c r="G36" s="58">
        <f>D30</f>
        <v>5.1509769094138624E-2</v>
      </c>
    </row>
    <row r="37" spans="1:9" x14ac:dyDescent="0.2">
      <c r="A37" t="s">
        <v>71</v>
      </c>
      <c r="B37" t="s">
        <v>73</v>
      </c>
      <c r="C37" s="58">
        <f>G26</f>
        <v>4.7279604306080802E-2</v>
      </c>
      <c r="D37" s="58">
        <f>G27</f>
        <v>4.7784414502014094E-2</v>
      </c>
      <c r="E37" s="58">
        <f>G28</f>
        <v>4.8124088558928912E-2</v>
      </c>
      <c r="F37" s="58">
        <f>G29</f>
        <v>4.8823678219074074E-2</v>
      </c>
      <c r="G37" s="58">
        <f>G30</f>
        <v>4.8842257597684569E-2</v>
      </c>
    </row>
    <row r="38" spans="1:9" x14ac:dyDescent="0.2">
      <c r="A38" t="s">
        <v>72</v>
      </c>
      <c r="B38" t="s">
        <v>73</v>
      </c>
      <c r="C38" s="58">
        <f>C37</f>
        <v>4.7279604306080802E-2</v>
      </c>
      <c r="D38" s="58">
        <f t="shared" ref="D38:G38" si="4">D37</f>
        <v>4.7784414502014094E-2</v>
      </c>
      <c r="E38" s="58">
        <f t="shared" si="4"/>
        <v>4.8124088558928912E-2</v>
      </c>
      <c r="F38" s="58">
        <f t="shared" si="4"/>
        <v>4.8823678219074074E-2</v>
      </c>
      <c r="G38" s="58">
        <f t="shared" si="4"/>
        <v>4.8842257597684569E-2</v>
      </c>
    </row>
    <row r="43" spans="1:9" x14ac:dyDescent="0.2">
      <c r="C43" t="s">
        <v>76</v>
      </c>
      <c r="D43" t="s">
        <v>79</v>
      </c>
      <c r="E43" t="s">
        <v>78</v>
      </c>
      <c r="H43" t="s">
        <v>80</v>
      </c>
      <c r="I43" t="s">
        <v>81</v>
      </c>
    </row>
    <row r="44" spans="1:9" x14ac:dyDescent="0.2">
      <c r="B44" s="2" t="s">
        <v>10</v>
      </c>
      <c r="C44" s="62">
        <f>D44+E44</f>
        <v>674452900</v>
      </c>
      <c r="D44" s="53">
        <f>ROUND((D$50*I52),-2)</f>
        <v>550100800</v>
      </c>
      <c r="E44" s="53">
        <f>ROUND((E$50*$H52),-2)</f>
        <v>124352100</v>
      </c>
      <c r="H44" s="59">
        <f>'AHCCCS 2017-2021'!J37</f>
        <v>4481134800</v>
      </c>
      <c r="I44" s="60">
        <f>H44</f>
        <v>4481134800</v>
      </c>
    </row>
    <row r="45" spans="1:9" x14ac:dyDescent="0.2">
      <c r="B45" s="2" t="s">
        <v>11</v>
      </c>
      <c r="C45" s="62">
        <f t="shared" ref="C45:C49" si="5">D45+E45</f>
        <v>326483000</v>
      </c>
      <c r="D45" s="53">
        <f t="shared" ref="D45:D49" si="6">ROUND((D$50*I53),-2)</f>
        <v>266287800</v>
      </c>
      <c r="E45" s="53">
        <f t="shared" ref="E45:E49" si="7">ROUND((E$50*$H53),-2)</f>
        <v>60195200</v>
      </c>
      <c r="H45" s="59">
        <f>'AHCCCS 2017-2021'!J38</f>
        <v>2169186600</v>
      </c>
      <c r="I45" s="60">
        <f>H45</f>
        <v>2169186600</v>
      </c>
    </row>
    <row r="46" spans="1:9" x14ac:dyDescent="0.2">
      <c r="B46" s="2" t="s">
        <v>13</v>
      </c>
      <c r="C46" s="62">
        <f t="shared" si="5"/>
        <v>43633700</v>
      </c>
      <c r="D46" s="53">
        <f t="shared" si="6"/>
        <v>0</v>
      </c>
      <c r="E46" s="53">
        <f t="shared" si="7"/>
        <v>43633700</v>
      </c>
      <c r="H46" s="59">
        <f>'AHCCCS 2017-2021'!J39</f>
        <v>1572376800</v>
      </c>
    </row>
    <row r="47" spans="1:9" x14ac:dyDescent="0.2">
      <c r="B47" s="2" t="s">
        <v>14</v>
      </c>
      <c r="C47" s="62">
        <f t="shared" si="5"/>
        <v>55407900</v>
      </c>
      <c r="D47" s="53">
        <f t="shared" si="6"/>
        <v>0</v>
      </c>
      <c r="E47" s="53">
        <f t="shared" si="7"/>
        <v>55407900</v>
      </c>
      <c r="H47" s="59">
        <f>'AHCCCS 2017-2021'!J40</f>
        <v>1996670500</v>
      </c>
    </row>
    <row r="48" spans="1:9" x14ac:dyDescent="0.2">
      <c r="B48" s="2" t="s">
        <v>57</v>
      </c>
      <c r="C48" s="62">
        <f t="shared" si="5"/>
        <v>76792900</v>
      </c>
      <c r="D48" s="53">
        <f t="shared" si="6"/>
        <v>62634200</v>
      </c>
      <c r="E48" s="53">
        <f t="shared" si="7"/>
        <v>14158700</v>
      </c>
      <c r="H48" s="59">
        <f>'AHCCCS 2017-2021'!J41</f>
        <v>510219800</v>
      </c>
      <c r="I48" s="60">
        <f>H48</f>
        <v>510219800</v>
      </c>
    </row>
    <row r="49" spans="2:9" x14ac:dyDescent="0.2">
      <c r="B49" s="11" t="s">
        <v>16</v>
      </c>
      <c r="C49" s="62">
        <f t="shared" si="5"/>
        <v>462929700</v>
      </c>
      <c r="D49" s="53">
        <f t="shared" si="6"/>
        <v>377577200</v>
      </c>
      <c r="E49" s="53">
        <f t="shared" si="7"/>
        <v>85352500</v>
      </c>
      <c r="H49" s="59">
        <f>'AHCCCS 2017-2021'!J42</f>
        <v>3075753100</v>
      </c>
      <c r="I49" s="60">
        <f>H49</f>
        <v>3075753100</v>
      </c>
    </row>
    <row r="50" spans="2:9" x14ac:dyDescent="0.2">
      <c r="C50" s="62">
        <f>SUM(C44:C49)</f>
        <v>1639700100</v>
      </c>
      <c r="D50" s="53">
        <v>1256600000</v>
      </c>
      <c r="E50" s="53">
        <v>383100000</v>
      </c>
      <c r="H50" s="60">
        <f>SUM(H44:H49)</f>
        <v>13805341600</v>
      </c>
      <c r="I50" s="60">
        <f>SUM(I44:I49)</f>
        <v>10236294300</v>
      </c>
    </row>
    <row r="51" spans="2:9" x14ac:dyDescent="0.2">
      <c r="C51" s="62">
        <f>D51+E51</f>
        <v>1639700100</v>
      </c>
      <c r="D51" s="62">
        <f>SUM(D44:D49)</f>
        <v>1256600000</v>
      </c>
      <c r="E51" s="62">
        <f>SUM(E44:E49)</f>
        <v>383100100</v>
      </c>
    </row>
    <row r="52" spans="2:9" x14ac:dyDescent="0.2">
      <c r="G52" s="2" t="s">
        <v>10</v>
      </c>
      <c r="H52" s="61">
        <f t="shared" ref="H52:H57" si="8">H44/$H$50</f>
        <v>0.32459427153906861</v>
      </c>
      <c r="I52" s="61">
        <f>I44/$I$50</f>
        <v>0.43776924233215919</v>
      </c>
    </row>
    <row r="53" spans="2:9" x14ac:dyDescent="0.2">
      <c r="G53" s="2" t="s">
        <v>11</v>
      </c>
      <c r="H53" s="61">
        <f t="shared" si="8"/>
        <v>0.15712661539646364</v>
      </c>
      <c r="I53" s="61">
        <f t="shared" ref="I53:I57" si="9">I45/$I$50</f>
        <v>0.21191131638331265</v>
      </c>
    </row>
    <row r="54" spans="2:9" x14ac:dyDescent="0.2">
      <c r="G54" s="2" t="s">
        <v>13</v>
      </c>
      <c r="H54" s="61">
        <f t="shared" si="8"/>
        <v>0.11389626171944923</v>
      </c>
      <c r="I54" s="61">
        <f t="shared" si="9"/>
        <v>0</v>
      </c>
    </row>
    <row r="55" spans="2:9" x14ac:dyDescent="0.2">
      <c r="G55" s="2" t="s">
        <v>14</v>
      </c>
      <c r="H55" s="61">
        <f t="shared" si="8"/>
        <v>0.14463028571491487</v>
      </c>
      <c r="I55" s="61">
        <f t="shared" si="9"/>
        <v>0</v>
      </c>
    </row>
    <row r="56" spans="2:9" x14ac:dyDescent="0.2">
      <c r="G56" s="2" t="s">
        <v>57</v>
      </c>
      <c r="H56" s="61">
        <f t="shared" si="8"/>
        <v>3.6958143795587067E-2</v>
      </c>
      <c r="I56" s="61">
        <f t="shared" si="9"/>
        <v>4.9844190196837147E-2</v>
      </c>
    </row>
    <row r="57" spans="2:9" x14ac:dyDescent="0.2">
      <c r="G57" s="11" t="s">
        <v>16</v>
      </c>
      <c r="H57" s="61">
        <f t="shared" si="8"/>
        <v>0.22279442183451659</v>
      </c>
      <c r="I57" s="61">
        <f t="shared" si="9"/>
        <v>0.30047525108769096</v>
      </c>
    </row>
    <row r="58" spans="2:9" x14ac:dyDescent="0.2">
      <c r="H58" s="61">
        <f>SUM(H52:H57)</f>
        <v>1</v>
      </c>
      <c r="I58" s="61">
        <f>SUM(I52:I57)</f>
        <v>1</v>
      </c>
    </row>
  </sheetData>
  <hyperlinks>
    <hyperlink ref="A6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AHCCCS 2012-2016</vt:lpstr>
      <vt:lpstr>AHCCCS 2017-2021</vt:lpstr>
      <vt:lpstr>AHCCCS 2022-2026</vt:lpstr>
      <vt:lpstr>Notes</vt:lpstr>
      <vt:lpstr>Sheet1</vt:lpstr>
      <vt:lpstr>'AHCCCS 2012-2016'!Print_Area</vt:lpstr>
      <vt:lpstr>'AHCCCS 2017-2021'!Print_Area</vt:lpstr>
      <vt:lpstr>'AHCCCS 2022-2026'!Print_Area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Tegen, Jeffery</dc:creator>
  <cp:lastModifiedBy>Tegen, Jeffery</cp:lastModifiedBy>
  <cp:lastPrinted>2020-09-30T17:20:21Z</cp:lastPrinted>
  <dcterms:created xsi:type="dcterms:W3CDTF">2016-06-17T20:31:17Z</dcterms:created>
  <dcterms:modified xsi:type="dcterms:W3CDTF">2020-09-30T19:08:33Z</dcterms:modified>
</cp:coreProperties>
</file>