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hcccs.sharepoint.com/sites/DHCMFINRI/Shared Documents/FIN/Reporting Guide/CYE 25/Final FRGs and Templates/To be posted/"/>
    </mc:Choice>
  </mc:AlternateContent>
  <xr:revisionPtr revIDLastSave="1098" documentId="13_ncr:1_{2A038F7E-38A3-4411-8C60-49E6DB725787}" xr6:coauthVersionLast="47" xr6:coauthVersionMax="47" xr10:uidLastSave="{40C05712-12D2-4C61-ABF7-04BDB3DB2280}"/>
  <bookViews>
    <workbookView xWindow="67080" yWindow="-120" windowWidth="29040" windowHeight="15720" tabRatio="734" firstSheet="7" activeTab="7" xr2:uid="{ACC08EE5-2851-4744-86BA-578378E8F450}"/>
  </bookViews>
  <sheets>
    <sheet name="Certification Statement A" sheetId="31" r:id="rId1"/>
    <sheet name="Instruction &amp; Audit Report B " sheetId="28" r:id="rId2"/>
    <sheet name="FS-Balance Sheet 3.04" sheetId="29" r:id="rId3"/>
    <sheet name="FS-Income Statement 3.05" sheetId="43" r:id="rId4"/>
    <sheet name="FS-Footnotes 3.06" sheetId="35" r:id="rId5"/>
    <sheet name="FN 11 Balance Sheet" sheetId="36" r:id="rId6"/>
    <sheet name="FN 11 Income Statement" sheetId="37" r:id="rId7"/>
    <sheet name="Financial  Viability  E" sheetId="26" r:id="rId8"/>
    <sheet name="Receivables_Payable 4.02 &amp; 4.03" sheetId="27" r:id="rId9"/>
    <sheet name="Other Assets 4.04" sheetId="19" r:id="rId10"/>
    <sheet name="Other Liabilities 4.05" sheetId="20" r:id="rId11"/>
    <sheet name="APM 4.06" sheetId="21" r:id="rId12"/>
    <sheet name="Long Term Debt 4.08" sheetId="23" r:id="rId13"/>
    <sheet name="Lag Report 4.07" sheetId="22" r:id="rId14"/>
    <sheet name="Other Account 4.09" sheetId="24" r:id="rId15"/>
    <sheet name="Addtl Details" sheetId="41" r:id="rId16"/>
    <sheet name="Total Profitability 4.10" sheetId="14" r:id="rId17"/>
    <sheet name="Central 4.10-a" sheetId="15" r:id="rId18"/>
    <sheet name="South 4.10-b" sheetId="16" r:id="rId19"/>
    <sheet name="North 4.10-c" sheetId="17" r:id="rId20"/>
    <sheet name="Sub Cap &amp; Block Expense 4.11" sheetId="18" r:id="rId21"/>
    <sheet name="CYTD SubCap &amp;  Block Provider " sheetId="45" r:id="rId22"/>
    <sheet name="Prior CY Adj BS 4.12" sheetId="12" r:id="rId23"/>
    <sheet name="Prior CY Adj IS 4.12" sheetId="13" r:id="rId24"/>
    <sheet name="Parent Financials 4.18" sheetId="10" r:id="rId25"/>
    <sheet name="Appendix F Instructions" sheetId="6" r:id="rId26"/>
    <sheet name="Audit Recon Balance Sheet F-1a" sheetId="7" r:id="rId27"/>
    <sheet name="Audit Rec Income Statement F-1b" sheetId="8" r:id="rId28"/>
    <sheet name="Annual - Entries F-1c" sheetId="42" r:id="rId29"/>
    <sheet name="Annual-Fin Viability F-1d" sheetId="44" r:id="rId30"/>
    <sheet name="MLR H-1  " sheetId="38" r:id="rId31"/>
    <sheet name="MLR Proof H-2" sheetId="39" r:id="rId32"/>
    <sheet name="CRI calculation I" sheetId="4"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 localSheetId="15">#REF!</definedName>
    <definedName name="\A" localSheetId="29">#REF!</definedName>
    <definedName name="\A" localSheetId="21">#REF!</definedName>
    <definedName name="\A" localSheetId="4">#REF!</definedName>
    <definedName name="\A" localSheetId="3">#REF!</definedName>
    <definedName name="\A">#REF!</definedName>
    <definedName name="\B" localSheetId="15">#REF!</definedName>
    <definedName name="\B" localSheetId="29">#REF!</definedName>
    <definedName name="\B" localSheetId="21">#REF!</definedName>
    <definedName name="\B" localSheetId="4">#REF!</definedName>
    <definedName name="\B" localSheetId="3">#REF!</definedName>
    <definedName name="\B">#REF!</definedName>
    <definedName name="\C" localSheetId="15">#REF!</definedName>
    <definedName name="\C" localSheetId="29">#REF!</definedName>
    <definedName name="\C" localSheetId="21">#REF!</definedName>
    <definedName name="\C" localSheetId="4">#REF!</definedName>
    <definedName name="\C" localSheetId="3">#REF!</definedName>
    <definedName name="\C">#REF!</definedName>
    <definedName name="\D" localSheetId="15">#REF!</definedName>
    <definedName name="\D">#REF!</definedName>
    <definedName name="\P" localSheetId="15">#REF!</definedName>
    <definedName name="\P">#REF!</definedName>
    <definedName name="__123Graph_A" localSheetId="29" hidden="1">[1]General!$AC$35:$AO$35</definedName>
    <definedName name="__123Graph_A" localSheetId="21" hidden="1">[1]General!$AC$35:$AO$35</definedName>
    <definedName name="__123Graph_A" hidden="1">[1]General!$AC$35:$AO$35</definedName>
    <definedName name="__123Graph_AAUTHS" localSheetId="29" hidden="1">[1]General!$AC$57:$AC$65</definedName>
    <definedName name="__123Graph_AAUTHS" localSheetId="21" hidden="1">[1]General!$AC$57:$AC$65</definedName>
    <definedName name="__123Graph_AAUTHS" hidden="1">[1]General!$AC$57:$AC$65</definedName>
    <definedName name="__123Graph_AIPIBNR" localSheetId="29" hidden="1">[1]General!$AF$49:$AO$49</definedName>
    <definedName name="__123Graph_AIPIBNR" localSheetId="21" hidden="1">[1]General!$AF$49:$AO$49</definedName>
    <definedName name="__123Graph_AIPIBNR" hidden="1">[1]General!$AF$49:$AO$49</definedName>
    <definedName name="__123Graph_ATOTAL" localSheetId="29" hidden="1">[1]General!$AC$10:$AO$10</definedName>
    <definedName name="__123Graph_ATOTAL" localSheetId="21" hidden="1">[1]General!$AC$10:$AO$10</definedName>
    <definedName name="__123Graph_ATOTAL" hidden="1">[1]General!$AC$10:$AO$10</definedName>
    <definedName name="__123Graph_ATYPEA" localSheetId="29" hidden="1">[1]General!$AC$10:$AO$10</definedName>
    <definedName name="__123Graph_ATYPEA" localSheetId="21" hidden="1">[1]General!$AC$10:$AO$10</definedName>
    <definedName name="__123Graph_ATYPEA" hidden="1">[1]General!$AC$10:$AO$10</definedName>
    <definedName name="__123Graph_ATYPED" localSheetId="29" hidden="1">[1]General!$AC$15:$AO$15</definedName>
    <definedName name="__123Graph_ATYPED" localSheetId="21" hidden="1">[1]General!$AC$15:$AO$15</definedName>
    <definedName name="__123Graph_ATYPED" hidden="1">[1]General!$AC$15:$AO$15</definedName>
    <definedName name="__123Graph_ATYPEE" localSheetId="29" hidden="1">[1]General!$AC$20:$AO$20</definedName>
    <definedName name="__123Graph_ATYPEE" localSheetId="21" hidden="1">[1]General!$AC$20:$AO$20</definedName>
    <definedName name="__123Graph_ATYPEE" hidden="1">[1]General!$AC$20:$AO$20</definedName>
    <definedName name="__123Graph_ATYPEI" localSheetId="29" hidden="1">[1]General!$AC$25:$AO$25</definedName>
    <definedName name="__123Graph_ATYPEI" localSheetId="21" hidden="1">[1]General!$AC$25:$AO$25</definedName>
    <definedName name="__123Graph_ATYPEI" hidden="1">[1]General!$AC$25:$AO$25</definedName>
    <definedName name="__123Graph_ATYPEM" localSheetId="29" hidden="1">[1]General!$AC$30:$AO$30</definedName>
    <definedName name="__123Graph_ATYPEM" localSheetId="21" hidden="1">[1]General!$AC$30:$AO$30</definedName>
    <definedName name="__123Graph_ATYPEM" hidden="1">[1]General!$AC$30:$AO$30</definedName>
    <definedName name="__123Graph_ATYPEP" localSheetId="29" hidden="1">[1]General!$AC$35:$AO$35</definedName>
    <definedName name="__123Graph_ATYPEP" localSheetId="21" hidden="1">[1]General!$AC$35:$AO$35</definedName>
    <definedName name="__123Graph_ATYPEP" hidden="1">[1]General!$AC$35:$AO$35</definedName>
    <definedName name="__123Graph_ATYPER" localSheetId="29" hidden="1">[1]General!$AC$40:$AO$40</definedName>
    <definedName name="__123Graph_ATYPER" localSheetId="21" hidden="1">[1]General!$AC$40:$AO$40</definedName>
    <definedName name="__123Graph_ATYPER" hidden="1">[1]General!$AC$40:$AO$40</definedName>
    <definedName name="__123Graph_ATYPESUM" localSheetId="29" hidden="1">[1]General!$AC$45:$AO$45</definedName>
    <definedName name="__123Graph_ATYPESUM" localSheetId="21" hidden="1">[1]General!$AC$45:$AO$45</definedName>
    <definedName name="__123Graph_ATYPESUM" hidden="1">[1]General!$AC$45:$AO$45</definedName>
    <definedName name="__123Graph_B" localSheetId="29" hidden="1">[1]General!$AC$14:$AO$14</definedName>
    <definedName name="__123Graph_B" localSheetId="21" hidden="1">[1]General!$AC$14:$AO$14</definedName>
    <definedName name="__123Graph_B" hidden="1">[1]General!$AC$14:$AO$14</definedName>
    <definedName name="__123Graph_BAUTHS" localSheetId="29" hidden="1">[1]General!$AE$57:$AE$65</definedName>
    <definedName name="__123Graph_BAUTHS" localSheetId="21" hidden="1">[1]General!$AE$57:$AE$65</definedName>
    <definedName name="__123Graph_BAUTHS" hidden="1">[1]General!$AE$57:$AE$65</definedName>
    <definedName name="__123Graph_BTOTAL" localSheetId="29" hidden="1">[1]General!$AC$15:$AO$15</definedName>
    <definedName name="__123Graph_BTOTAL" localSheetId="21" hidden="1">[1]General!$AC$15:$AO$15</definedName>
    <definedName name="__123Graph_BTOTAL" hidden="1">[1]General!$AC$15:$AO$15</definedName>
    <definedName name="__123Graph_BTYPED" localSheetId="29" hidden="1">[1]General!$AC$14:$AO$14</definedName>
    <definedName name="__123Graph_BTYPED" localSheetId="21" hidden="1">[1]General!$AC$14:$AO$14</definedName>
    <definedName name="__123Graph_BTYPED" hidden="1">[1]General!$AC$14:$AO$14</definedName>
    <definedName name="__123Graph_BTYPEE" localSheetId="29" hidden="1">[1]General!$AC$14:$AO$14</definedName>
    <definedName name="__123Graph_BTYPEE" localSheetId="21" hidden="1">[1]General!$AC$14:$AO$14</definedName>
    <definedName name="__123Graph_BTYPEE" hidden="1">[1]General!$AC$14:$AO$14</definedName>
    <definedName name="__123Graph_BTYPEI" localSheetId="29" hidden="1">[1]General!$AC$14:$AO$14</definedName>
    <definedName name="__123Graph_BTYPEI" localSheetId="21" hidden="1">[1]General!$AC$14:$AO$14</definedName>
    <definedName name="__123Graph_BTYPEI" hidden="1">[1]General!$AC$14:$AO$14</definedName>
    <definedName name="__123Graph_BTYPEM" localSheetId="29" hidden="1">[1]General!$AC$14:$AO$14</definedName>
    <definedName name="__123Graph_BTYPEM" localSheetId="21" hidden="1">[1]General!$AC$14:$AO$14</definedName>
    <definedName name="__123Graph_BTYPEM" hidden="1">[1]General!$AC$14:$AO$14</definedName>
    <definedName name="__123Graph_BTYPEP" localSheetId="29" hidden="1">[1]General!$AC$14:$AO$14</definedName>
    <definedName name="__123Graph_BTYPEP" localSheetId="21" hidden="1">[1]General!$AC$14:$AO$14</definedName>
    <definedName name="__123Graph_BTYPEP" hidden="1">[1]General!$AC$14:$AO$14</definedName>
    <definedName name="__123Graph_BTYPER" localSheetId="29" hidden="1">[1]General!$AC$14:$AO$14</definedName>
    <definedName name="__123Graph_BTYPER" localSheetId="21" hidden="1">[1]General!$AC$14:$AO$14</definedName>
    <definedName name="__123Graph_BTYPER" hidden="1">[1]General!$AC$14:$AO$14</definedName>
    <definedName name="__123Graph_BTYPESUM" localSheetId="29" hidden="1">[1]General!$AC$14:$AO$14</definedName>
    <definedName name="__123Graph_BTYPESUM" localSheetId="21" hidden="1">[1]General!$AC$14:$AO$14</definedName>
    <definedName name="__123Graph_BTYPESUM" hidden="1">[1]General!$AC$14:$AO$14</definedName>
    <definedName name="__123Graph_CAUTHS" localSheetId="29" hidden="1">[1]General!$AF$57:$AF$65</definedName>
    <definedName name="__123Graph_CAUTHS" localSheetId="21" hidden="1">[1]General!$AF$57:$AF$65</definedName>
    <definedName name="__123Graph_CAUTHS" hidden="1">[1]General!$AF$57:$AF$65</definedName>
    <definedName name="__123Graph_CTOTAL" localSheetId="29" hidden="1">[1]General!$AC$20:$AO$20</definedName>
    <definedName name="__123Graph_CTOTAL" localSheetId="21" hidden="1">[1]General!$AC$20:$AO$20</definedName>
    <definedName name="__123Graph_CTOTAL" hidden="1">[1]General!$AC$20:$AO$20</definedName>
    <definedName name="__123Graph_DAUTHS" localSheetId="29" hidden="1">[1]General!$AG$57:$AG$65</definedName>
    <definedName name="__123Graph_DAUTHS" localSheetId="21" hidden="1">[1]General!$AG$57:$AG$65</definedName>
    <definedName name="__123Graph_DAUTHS" hidden="1">[1]General!$AG$57:$AG$65</definedName>
    <definedName name="__123Graph_DIPIBNR" localSheetId="29" hidden="1">[1]General!$AF$51:$AO$51</definedName>
    <definedName name="__123Graph_DIPIBNR" localSheetId="21" hidden="1">[1]General!$AF$51:$AO$51</definedName>
    <definedName name="__123Graph_DIPIBNR" hidden="1">[1]General!$AF$51:$AO$51</definedName>
    <definedName name="__123Graph_DTOTAL" localSheetId="29" hidden="1">[1]General!$AC$25:$AO$25</definedName>
    <definedName name="__123Graph_DTOTAL" localSheetId="21" hidden="1">[1]General!$AC$25:$AO$25</definedName>
    <definedName name="__123Graph_DTOTAL" hidden="1">[1]General!$AC$25:$AO$25</definedName>
    <definedName name="__123Graph_EAUTHS" localSheetId="29" hidden="1">[1]General!$AH$57:$AH$65</definedName>
    <definedName name="__123Graph_EAUTHS" localSheetId="21" hidden="1">[1]General!$AH$57:$AH$65</definedName>
    <definedName name="__123Graph_EAUTHS" hidden="1">[1]General!$AH$57:$AH$65</definedName>
    <definedName name="__123Graph_ETOTAL" localSheetId="29" hidden="1">[1]General!$AC$35:$AO$35</definedName>
    <definedName name="__123Graph_ETOTAL" localSheetId="21" hidden="1">[1]General!$AC$35:$AO$35</definedName>
    <definedName name="__123Graph_ETOTAL" hidden="1">[1]General!$AC$35:$AO$35</definedName>
    <definedName name="__123Graph_FAUTHS" localSheetId="29" hidden="1">[1]General!$AI$57:$AI$65</definedName>
    <definedName name="__123Graph_FAUTHS" localSheetId="21" hidden="1">[1]General!$AI$57:$AI$65</definedName>
    <definedName name="__123Graph_FAUTHS" hidden="1">[1]General!$AI$57:$AI$65</definedName>
    <definedName name="__123Graph_FTOTAL" localSheetId="29" hidden="1">[1]General!$AC$40:$AO$40</definedName>
    <definedName name="__123Graph_FTOTAL" localSheetId="21" hidden="1">[1]General!$AC$40:$AO$40</definedName>
    <definedName name="__123Graph_FTOTAL" hidden="1">[1]General!$AC$40:$AO$40</definedName>
    <definedName name="__123Graph_LBL_A" localSheetId="29" hidden="1">[1]General!$AC$35:$AO$35</definedName>
    <definedName name="__123Graph_LBL_A" localSheetId="21" hidden="1">[1]General!$AC$35:$AO$35</definedName>
    <definedName name="__123Graph_LBL_A" hidden="1">[1]General!$AC$35:$AO$35</definedName>
    <definedName name="__123Graph_LBL_AIPIBNR" localSheetId="29" hidden="1">[1]General!$AF$49:$AO$49</definedName>
    <definedName name="__123Graph_LBL_AIPIBNR" localSheetId="21" hidden="1">[1]General!$AF$49:$AO$49</definedName>
    <definedName name="__123Graph_LBL_AIPIBNR" hidden="1">[1]General!$AF$49:$AO$49</definedName>
    <definedName name="__123Graph_LBL_ATYPEA" localSheetId="29" hidden="1">[1]General!$AC$10:$AO$10</definedName>
    <definedName name="__123Graph_LBL_ATYPEA" localSheetId="21" hidden="1">[1]General!$AC$10:$AO$10</definedName>
    <definedName name="__123Graph_LBL_ATYPEA" hidden="1">[1]General!$AC$10:$AO$10</definedName>
    <definedName name="__123Graph_LBL_ATYPED" localSheetId="29" hidden="1">[1]General!$AC$15:$AO$15</definedName>
    <definedName name="__123Graph_LBL_ATYPED" localSheetId="21" hidden="1">[1]General!$AC$15:$AO$15</definedName>
    <definedName name="__123Graph_LBL_ATYPED" hidden="1">[1]General!$AC$15:$AO$15</definedName>
    <definedName name="__123Graph_LBL_ATYPEE" localSheetId="29" hidden="1">[1]General!$AC$20:$AO$20</definedName>
    <definedName name="__123Graph_LBL_ATYPEE" localSheetId="21" hidden="1">[1]General!$AC$20:$AO$20</definedName>
    <definedName name="__123Graph_LBL_ATYPEE" hidden="1">[1]General!$AC$20:$AO$20</definedName>
    <definedName name="__123Graph_LBL_ATYPEI" localSheetId="29" hidden="1">[1]General!$AC$25:$AO$25</definedName>
    <definedName name="__123Graph_LBL_ATYPEI" localSheetId="21" hidden="1">[1]General!$AC$25:$AO$25</definedName>
    <definedName name="__123Graph_LBL_ATYPEI" hidden="1">[1]General!$AC$25:$AO$25</definedName>
    <definedName name="__123Graph_LBL_ATYPEM" localSheetId="29" hidden="1">[1]General!$AC$30:$AO$30</definedName>
    <definedName name="__123Graph_LBL_ATYPEM" localSheetId="21" hidden="1">[1]General!$AC$30:$AO$30</definedName>
    <definedName name="__123Graph_LBL_ATYPEM" hidden="1">[1]General!$AC$30:$AO$30</definedName>
    <definedName name="__123Graph_LBL_ATYPEP" localSheetId="29" hidden="1">[1]General!$AC$35:$AO$35</definedName>
    <definedName name="__123Graph_LBL_ATYPEP" localSheetId="21" hidden="1">[1]General!$AC$35:$AO$35</definedName>
    <definedName name="__123Graph_LBL_ATYPEP" hidden="1">[1]General!$AC$35:$AO$35</definedName>
    <definedName name="__123Graph_LBL_ATYPER" localSheetId="29" hidden="1">[1]General!$AC$40:$AO$40</definedName>
    <definedName name="__123Graph_LBL_ATYPER" localSheetId="21" hidden="1">[1]General!$AC$40:$AO$40</definedName>
    <definedName name="__123Graph_LBL_ATYPER" hidden="1">[1]General!$AC$40:$AO$40</definedName>
    <definedName name="__123Graph_LBL_ATYPESUM" localSheetId="29" hidden="1">[1]General!$AC$45:$AO$45</definedName>
    <definedName name="__123Graph_LBL_ATYPESUM" localSheetId="21" hidden="1">[1]General!$AC$45:$AO$45</definedName>
    <definedName name="__123Graph_LBL_ATYPESUM" hidden="1">[1]General!$AC$45:$AO$45</definedName>
    <definedName name="__123Graph_LBL_B" localSheetId="29" hidden="1">[1]General!$AC$15:$AO$15</definedName>
    <definedName name="__123Graph_LBL_B" localSheetId="21" hidden="1">[1]General!$AC$15:$AO$15</definedName>
    <definedName name="__123Graph_LBL_B" hidden="1">[1]General!$AC$15:$AO$15</definedName>
    <definedName name="__123Graph_LBL_BTYPED" localSheetId="29" hidden="1">[1]General!$AC$15:$AO$15</definedName>
    <definedName name="__123Graph_LBL_BTYPED" localSheetId="21" hidden="1">[1]General!$AC$15:$AO$15</definedName>
    <definedName name="__123Graph_LBL_BTYPED" hidden="1">[1]General!$AC$15:$AO$15</definedName>
    <definedName name="__123Graph_LBL_BTYPEE" localSheetId="29" hidden="1">[1]General!$AC$15:$AO$15</definedName>
    <definedName name="__123Graph_LBL_BTYPEE" localSheetId="21" hidden="1">[1]General!$AC$15:$AO$15</definedName>
    <definedName name="__123Graph_LBL_BTYPEE" hidden="1">[1]General!$AC$15:$AO$15</definedName>
    <definedName name="__123Graph_LBL_BTYPEI" localSheetId="29" hidden="1">[1]General!$AC$15:$AO$15</definedName>
    <definedName name="__123Graph_LBL_BTYPEI" localSheetId="21" hidden="1">[1]General!$AC$15:$AO$15</definedName>
    <definedName name="__123Graph_LBL_BTYPEI" hidden="1">[1]General!$AC$15:$AO$15</definedName>
    <definedName name="__123Graph_LBL_BTYPEM" localSheetId="29" hidden="1">[1]General!$AC$15:$AO$15</definedName>
    <definedName name="__123Graph_LBL_BTYPEM" localSheetId="21" hidden="1">[1]General!$AC$15:$AO$15</definedName>
    <definedName name="__123Graph_LBL_BTYPEM" hidden="1">[1]General!$AC$15:$AO$15</definedName>
    <definedName name="__123Graph_LBL_BTYPEP" localSheetId="29" hidden="1">[1]General!$AC$15:$AO$15</definedName>
    <definedName name="__123Graph_LBL_BTYPEP" localSheetId="21" hidden="1">[1]General!$AC$15:$AO$15</definedName>
    <definedName name="__123Graph_LBL_BTYPEP" hidden="1">[1]General!$AC$15:$AO$15</definedName>
    <definedName name="__123Graph_LBL_BTYPER" localSheetId="29" hidden="1">[1]General!$AC$15:$AO$15</definedName>
    <definedName name="__123Graph_LBL_BTYPER" localSheetId="21" hidden="1">[1]General!$AC$15:$AO$15</definedName>
    <definedName name="__123Graph_LBL_BTYPER" hidden="1">[1]General!$AC$15:$AO$15</definedName>
    <definedName name="__123Graph_LBL_BTYPESUM" localSheetId="29" hidden="1">[1]General!$AC$15:$AO$15</definedName>
    <definedName name="__123Graph_LBL_BTYPESUM" localSheetId="21" hidden="1">[1]General!$AC$15:$AO$15</definedName>
    <definedName name="__123Graph_LBL_BTYPESUM" hidden="1">[1]General!$AC$15:$AO$15</definedName>
    <definedName name="__123Graph_LBL_DIPIBNR" localSheetId="29" hidden="1">[1]General!$AF$51:$AO$51</definedName>
    <definedName name="__123Graph_LBL_DIPIBNR" localSheetId="21" hidden="1">[1]General!$AF$51:$AO$51</definedName>
    <definedName name="__123Graph_LBL_DIPIBNR" hidden="1">[1]General!$AF$51:$AO$51</definedName>
    <definedName name="__123Graph_XAUTHS" localSheetId="29" hidden="1">[1]General!$AA$57:$AA$65</definedName>
    <definedName name="__123Graph_XAUTHS" localSheetId="21" hidden="1">[1]General!$AA$57:$AA$65</definedName>
    <definedName name="__123Graph_XAUTHS" hidden="1">[1]General!$AA$57:$AA$65</definedName>
    <definedName name="__123Graph_XIPIBNR" localSheetId="29" hidden="1">[1]General!$AF$5:$AO$5</definedName>
    <definedName name="__123Graph_XIPIBNR" localSheetId="21" hidden="1">[1]General!$AF$5:$AO$5</definedName>
    <definedName name="__123Graph_XIPIBNR" hidden="1">[1]General!$AF$5:$AO$5</definedName>
    <definedName name="__123Graph_XTOTAL" localSheetId="29" hidden="1">[1]General!$AC$6:$AO$6</definedName>
    <definedName name="__123Graph_XTOTAL" localSheetId="21" hidden="1">[1]General!$AC$6:$AO$6</definedName>
    <definedName name="__123Graph_XTOTAL" hidden="1">[1]General!$AC$6:$AO$6</definedName>
    <definedName name="_Fill" localSheetId="15" hidden="1">[2]TotalClaimsLag!#REF!</definedName>
    <definedName name="_Fill" localSheetId="28" hidden="1">[3]TotalClaimsLag!#REF!</definedName>
    <definedName name="_Fill" localSheetId="29" hidden="1">[3]TotalClaimsLag!#REF!</definedName>
    <definedName name="_Fill" localSheetId="21" hidden="1">[3]TotalClaimsLag!#REF!</definedName>
    <definedName name="_Fill" localSheetId="4" hidden="1">[3]TotalClaimsLag!#REF!</definedName>
    <definedName name="_Fill" localSheetId="3" hidden="1">[2]TotalClaimsLag!#REF!</definedName>
    <definedName name="_Fill" localSheetId="30" hidden="1">#REF!</definedName>
    <definedName name="_Fill" localSheetId="31" hidden="1">#REF!</definedName>
    <definedName name="_Fill" hidden="1">[2]TotalClaimsLag!#REF!</definedName>
    <definedName name="_nov97" localSheetId="15">#REF!</definedName>
    <definedName name="_nov97" localSheetId="28">#REF!</definedName>
    <definedName name="_nov97" localSheetId="29">#REF!</definedName>
    <definedName name="_nov97" localSheetId="21">#REF!</definedName>
    <definedName name="_nov97" localSheetId="4">#REF!</definedName>
    <definedName name="_nov97" localSheetId="3">#REF!</definedName>
    <definedName name="_nov97">#REF!</definedName>
    <definedName name="_Regression_Int" localSheetId="15" hidden="1">1</definedName>
    <definedName name="_Regression_Int" localSheetId="27" hidden="1">1</definedName>
    <definedName name="_Regression_Int" localSheetId="26" hidden="1">1</definedName>
    <definedName name="_Regression_Int" localSheetId="17" hidden="1">1</definedName>
    <definedName name="_Regression_Int" localSheetId="2" hidden="1">1</definedName>
    <definedName name="_Regression_Int" localSheetId="3" hidden="1">1</definedName>
    <definedName name="_Regression_Int" localSheetId="12" hidden="1">1</definedName>
    <definedName name="_Regression_Int" localSheetId="19" hidden="1">1</definedName>
    <definedName name="_Regression_Int" localSheetId="14" hidden="1">1</definedName>
    <definedName name="_Regression_Int" localSheetId="9" hidden="1">1</definedName>
    <definedName name="_Regression_Int" localSheetId="10" hidden="1">1</definedName>
    <definedName name="_Regression_Int" localSheetId="18" hidden="1">1</definedName>
    <definedName name="_Regression_Int" localSheetId="16" hidden="1">1</definedName>
    <definedName name="ACCRUAL" localSheetId="15">'[4]INV RCVD PRIOR MNTH PAID CURR'!#REF!</definedName>
    <definedName name="ACCRUAL" localSheetId="28">'[4]INV RCVD PRIOR MNTH PAID CURR'!#REF!</definedName>
    <definedName name="ACCRUAL" localSheetId="29">'[4]INV RCVD PRIOR MNTH PAID CURR'!#REF!</definedName>
    <definedName name="ACCRUAL" localSheetId="21">'[4]INV RCVD PRIOR MNTH PAID CURR'!#REF!</definedName>
    <definedName name="ACCRUAL" localSheetId="4">'[4]INV RCVD PRIOR MNTH PAID CURR'!#REF!</definedName>
    <definedName name="ACCRUAL" localSheetId="3">'[4]INV RCVD PRIOR MNTH PAID CURR'!#REF!</definedName>
    <definedName name="ACCRUAL">'[4]INV RCVD PRIOR MNTH PAID CURR'!#REF!</definedName>
    <definedName name="acct" localSheetId="15">#REF!</definedName>
    <definedName name="acct" localSheetId="29">#REF!</definedName>
    <definedName name="acct" localSheetId="21">#REF!</definedName>
    <definedName name="acct" localSheetId="4">#REF!</definedName>
    <definedName name="acct" localSheetId="3">#REF!</definedName>
    <definedName name="acct">#REF!</definedName>
    <definedName name="ACCT1" localSheetId="15">'[4]INVOICES RECEIVED'!#REF!</definedName>
    <definedName name="ACCT1" localSheetId="29">'[4]INVOICES RECEIVED'!#REF!</definedName>
    <definedName name="ACCT1" localSheetId="21">'[4]INVOICES RECEIVED'!#REF!</definedName>
    <definedName name="ACCT1" localSheetId="4">'[4]INVOICES RECEIVED'!#REF!</definedName>
    <definedName name="ACCT1">'[4]INVOICES RECEIVED'!#REF!</definedName>
    <definedName name="AcctMap" localSheetId="15">[5]AcctMap!$A:$C</definedName>
    <definedName name="AcctMap" localSheetId="28">[6]AcctMap!$A:$C</definedName>
    <definedName name="AcctMap" localSheetId="29">[6]AcctMap!$A:$C</definedName>
    <definedName name="AcctMap" localSheetId="21">[6]AcctMap!$A:$C</definedName>
    <definedName name="AcctMap">[5]AcctMap!$A:$C</definedName>
    <definedName name="ACCTPARTC" localSheetId="15">#REF!</definedName>
    <definedName name="ACCTPARTC" localSheetId="28">#REF!</definedName>
    <definedName name="ACCTPARTC" localSheetId="29">#REF!</definedName>
    <definedName name="ACCTPARTC" localSheetId="21">#REF!</definedName>
    <definedName name="ACCTPARTC" localSheetId="3">#REF!</definedName>
    <definedName name="ACCTPARTC">#REF!</definedName>
    <definedName name="ACT" localSheetId="15">#REF!</definedName>
    <definedName name="ACT" localSheetId="29">#REF!</definedName>
    <definedName name="ACT" localSheetId="3">#REF!</definedName>
    <definedName name="ACT">#REF!</definedName>
    <definedName name="AMT" localSheetId="15">#REF!</definedName>
    <definedName name="AMT" localSheetId="29">#REF!</definedName>
    <definedName name="AMT" localSheetId="3">#REF!</definedName>
    <definedName name="AMT">#REF!</definedName>
    <definedName name="bsdata" localSheetId="15">#REF!</definedName>
    <definedName name="bsdata">#REF!</definedName>
    <definedName name="bsdatatest" localSheetId="15">#REF!</definedName>
    <definedName name="bsdatatest">#REF!</definedName>
    <definedName name="CaidBase">[7]BaseMedicaid!$A$10:$F$58</definedName>
    <definedName name="CHKRUNMEDEXPBYGLACCT" localSheetId="15">#REF!</definedName>
    <definedName name="CHKRUNMEDEXPBYGLACCT" localSheetId="28">#REF!</definedName>
    <definedName name="CHKRUNMEDEXPBYGLACCT" localSheetId="29">#REF!</definedName>
    <definedName name="CHKRUNMEDEXPBYGLACCT" localSheetId="21">#REF!</definedName>
    <definedName name="CHKRUNMEDEXPBYGLACCT" localSheetId="3">#REF!</definedName>
    <definedName name="CHKRUNMEDEXPBYGLACCT">#REF!</definedName>
    <definedName name="CurrQtr_Date">'[8]6.1.0 Audit Report '!$I$4</definedName>
    <definedName name="Data" localSheetId="15">#REF!</definedName>
    <definedName name="Data" localSheetId="28">#REF!</definedName>
    <definedName name="Data" localSheetId="29">#REF!</definedName>
    <definedName name="Data" localSheetId="21">#REF!</definedName>
    <definedName name="Data" localSheetId="3">#REF!</definedName>
    <definedName name="Data">#REF!</definedName>
    <definedName name="Date" localSheetId="15">[5]ControlPanel!$F$6</definedName>
    <definedName name="Date" localSheetId="28">[6]ControlPanel!$F$6</definedName>
    <definedName name="Date" localSheetId="29">[6]ControlPanel!$F$6</definedName>
    <definedName name="Date" localSheetId="21">[6]ControlPanel!$F$6</definedName>
    <definedName name="Date">[5]ControlPanel!$F$6</definedName>
    <definedName name="Dates" localSheetId="15">OFFSET([9]Summary!$H$2:$AE$2,0,#REF!)</definedName>
    <definedName name="Dates" localSheetId="29">OFFSET([9]Summary!$H$2:$AE$2,0,#REF!)</definedName>
    <definedName name="Dates" localSheetId="21">OFFSET([9]Summary!$H$2:$AE$2,0,#REF!)</definedName>
    <definedName name="Dates" localSheetId="4">OFFSET([9]Summary!$H$2:$AE$2,0,#REF!)</definedName>
    <definedName name="Dates" localSheetId="3">OFFSET([9]Summary!$H$2:$AE$2,0,#REF!)</definedName>
    <definedName name="Dates">OFFSET([9]Summary!$H$2:$AE$2,0,#REF!)</definedName>
    <definedName name="DDIRECT" localSheetId="15">#REF!</definedName>
    <definedName name="DDIRECT" localSheetId="28">#REF!</definedName>
    <definedName name="DDIRECT" localSheetId="29">#REF!</definedName>
    <definedName name="DDIRECT" localSheetId="21">#REF!</definedName>
    <definedName name="DDIRECT" localSheetId="3">#REF!</definedName>
    <definedName name="DDIRECT">#REF!</definedName>
    <definedName name="DEC" localSheetId="15">#REF!</definedName>
    <definedName name="DEC" localSheetId="29">#REF!</definedName>
    <definedName name="DEC" localSheetId="4">#REF!</definedName>
    <definedName name="DEC" localSheetId="3">#REF!</definedName>
    <definedName name="DEC">#REF!</definedName>
    <definedName name="DeptMap" localSheetId="15">[5]DeptMap!$A:$C</definedName>
    <definedName name="DeptMap" localSheetId="28">[6]DeptMap!$A:$C</definedName>
    <definedName name="DeptMap" localSheetId="29">[6]DeptMap!$A:$C</definedName>
    <definedName name="DeptMap" localSheetId="21">[6]DeptMap!$A:$C</definedName>
    <definedName name="DeptMap">[5]DeptMap!$A:$C</definedName>
    <definedName name="DIRECTACCT" localSheetId="15">#REF!</definedName>
    <definedName name="DIRECTACCT" localSheetId="28">#REF!</definedName>
    <definedName name="DIRECTACCT" localSheetId="29">#REF!</definedName>
    <definedName name="DIRECTACCT" localSheetId="21">#REF!</definedName>
    <definedName name="DIRECTACCT" localSheetId="3">#REF!</definedName>
    <definedName name="DIRECTACCT">#REF!</definedName>
    <definedName name="discharge" localSheetId="29">[10]Discharges!$B$7:$J$70</definedName>
    <definedName name="discharge" localSheetId="21">[10]Discharges!$B$7:$J$70</definedName>
    <definedName name="discharge">[10]Discharges!$B$7:$J$70</definedName>
    <definedName name="DPREM" localSheetId="15">#REF!</definedName>
    <definedName name="DPREM" localSheetId="28">#REF!</definedName>
    <definedName name="DPREM" localSheetId="29">#REF!</definedName>
    <definedName name="DPREM" localSheetId="21">#REF!</definedName>
    <definedName name="DPREM" localSheetId="3">#REF!</definedName>
    <definedName name="DPREM">#REF!</definedName>
    <definedName name="DPREMACCT" localSheetId="15">#REF!</definedName>
    <definedName name="DPREMACCT" localSheetId="29">#REF!</definedName>
    <definedName name="DPREMACCT" localSheetId="3">#REF!</definedName>
    <definedName name="DPREMACCT">#REF!</definedName>
    <definedName name="DREINS" localSheetId="15">#REF!</definedName>
    <definedName name="DREINS" localSheetId="29">#REF!</definedName>
    <definedName name="DREINS" localSheetId="3">#REF!</definedName>
    <definedName name="DREINS">#REF!</definedName>
    <definedName name="DREINSACCT" localSheetId="15">#REF!</definedName>
    <definedName name="DREINSACCT">#REF!</definedName>
    <definedName name="ELSE" localSheetId="15">#REF!</definedName>
    <definedName name="ELSE">#REF!</definedName>
    <definedName name="EXPACCRUALAMT" localSheetId="15">'[4]INV RCVD PRIOR MNTH PAID CURR'!#REF!</definedName>
    <definedName name="EXPACCRUALAMT">'[4]INV RCVD PRIOR MNTH PAID CURR'!#REF!</definedName>
    <definedName name="EXPFORPAID1" localSheetId="15">'[4]INVOICES RECEIVED'!#REF!</definedName>
    <definedName name="EXPFORPAID1">'[4]INVOICES RECEIVED'!#REF!</definedName>
    <definedName name="FindCounty">[7]BaseMedicaid!$M$4:$Q$103</definedName>
    <definedName name="fs" localSheetId="15" hidden="1">{#N/A,#N/A,FALSE,"BAL SHT";#N/A,#N/A,FALSE,"INCOME STMT";#N/A,#N/A,FALSE,"UTILIZATION";#N/A,#N/A,FALSE,"RATE CODE"}</definedName>
    <definedName name="fs" localSheetId="28" hidden="1">{#N/A,#N/A,FALSE,"BAL SHT";#N/A,#N/A,FALSE,"INCOME STMT";#N/A,#N/A,FALSE,"UTILIZATION";#N/A,#N/A,FALSE,"RATE CODE"}</definedName>
    <definedName name="fs" localSheetId="29" hidden="1">{#N/A,#N/A,FALSE,"BAL SHT";#N/A,#N/A,FALSE,"INCOME STMT";#N/A,#N/A,FALSE,"UTILIZATION";#N/A,#N/A,FALSE,"RATE CODE"}</definedName>
    <definedName name="fs" localSheetId="21" hidden="1">{#N/A,#N/A,FALSE,"BAL SHT";#N/A,#N/A,FALSE,"INCOME STMT";#N/A,#N/A,FALSE,"UTILIZATION";#N/A,#N/A,FALSE,"RATE CODE"}</definedName>
    <definedName name="fs" localSheetId="6" hidden="1">{#N/A,#N/A,FALSE,"BAL SHT";#N/A,#N/A,FALSE,"INCOME STMT";#N/A,#N/A,FALSE,"UTILIZATION";#N/A,#N/A,FALSE,"RATE CODE"}</definedName>
    <definedName name="fs" localSheetId="4" hidden="1">{#N/A,#N/A,FALSE,"BAL SHT";#N/A,#N/A,FALSE,"INCOME STMT";#N/A,#N/A,FALSE,"UTILIZATION";#N/A,#N/A,FALSE,"RATE CODE"}</definedName>
    <definedName name="fs" localSheetId="3" hidden="1">{#N/A,#N/A,FALSE,"BAL SHT";#N/A,#N/A,FALSE,"INCOME STMT";#N/A,#N/A,FALSE,"UTILIZATION";#N/A,#N/A,FALSE,"RATE CODE"}</definedName>
    <definedName name="fs" localSheetId="31" hidden="1">{#N/A,#N/A,FALSE,"BAL SHT";#N/A,#N/A,FALSE,"INCOME STMT";#N/A,#N/A,FALSE,"UTILIZATION";#N/A,#N/A,FALSE,"RATE CODE"}</definedName>
    <definedName name="fs" hidden="1">{#N/A,#N/A,FALSE,"BAL SHT";#N/A,#N/A,FALSE,"INCOME STMT";#N/A,#N/A,FALSE,"UTILIZATION";#N/A,#N/A,FALSE,"RATE CODE"}</definedName>
    <definedName name="gltb">'[11]gl_phy Table'!$B$3:$F$402</definedName>
    <definedName name="ibnr" localSheetId="15" hidden="1">{#N/A,#N/A,FALSE,"BAL SHT";#N/A,#N/A,FALSE,"INCOME STMT";#N/A,#N/A,FALSE,"UTILIZATION";#N/A,#N/A,FALSE,"RATE CODE"}</definedName>
    <definedName name="ibnr" localSheetId="28" hidden="1">{#N/A,#N/A,FALSE,"BAL SHT";#N/A,#N/A,FALSE,"INCOME STMT";#N/A,#N/A,FALSE,"UTILIZATION";#N/A,#N/A,FALSE,"RATE CODE"}</definedName>
    <definedName name="ibnr" localSheetId="29" hidden="1">{#N/A,#N/A,FALSE,"BAL SHT";#N/A,#N/A,FALSE,"INCOME STMT";#N/A,#N/A,FALSE,"UTILIZATION";#N/A,#N/A,FALSE,"RATE CODE"}</definedName>
    <definedName name="ibnr" localSheetId="21" hidden="1">{#N/A,#N/A,FALSE,"BAL SHT";#N/A,#N/A,FALSE,"INCOME STMT";#N/A,#N/A,FALSE,"UTILIZATION";#N/A,#N/A,FALSE,"RATE CODE"}</definedName>
    <definedName name="ibnr" localSheetId="6" hidden="1">{#N/A,#N/A,FALSE,"BAL SHT";#N/A,#N/A,FALSE,"INCOME STMT";#N/A,#N/A,FALSE,"UTILIZATION";#N/A,#N/A,FALSE,"RATE CODE"}</definedName>
    <definedName name="ibnr" localSheetId="4" hidden="1">{#N/A,#N/A,FALSE,"BAL SHT";#N/A,#N/A,FALSE,"INCOME STMT";#N/A,#N/A,FALSE,"UTILIZATION";#N/A,#N/A,FALSE,"RATE CODE"}</definedName>
    <definedName name="ibnr" localSheetId="3" hidden="1">{#N/A,#N/A,FALSE,"BAL SHT";#N/A,#N/A,FALSE,"INCOME STMT";#N/A,#N/A,FALSE,"UTILIZATION";#N/A,#N/A,FALSE,"RATE CODE"}</definedName>
    <definedName name="ibnr" localSheetId="31" hidden="1">{#N/A,#N/A,FALSE,"BAL SHT";#N/A,#N/A,FALSE,"INCOME STMT";#N/A,#N/A,FALSE,"UTILIZATION";#N/A,#N/A,FALSE,"RATE CODE"}</definedName>
    <definedName name="ibnr" hidden="1">{#N/A,#N/A,FALSE,"BAL SHT";#N/A,#N/A,FALSE,"INCOME STMT";#N/A,#N/A,FALSE,"UTILIZATION";#N/A,#N/A,FALSE,"RATE CODE"}</definedName>
    <definedName name="ibnr1" localSheetId="15" hidden="1">{#N/A,#N/A,FALSE,"BAL SHT";#N/A,#N/A,FALSE,"INCOME STMT";#N/A,#N/A,FALSE,"UTILIZATION";#N/A,#N/A,FALSE,"RATE CODE"}</definedName>
    <definedName name="ibnr1" localSheetId="28" hidden="1">{#N/A,#N/A,FALSE,"BAL SHT";#N/A,#N/A,FALSE,"INCOME STMT";#N/A,#N/A,FALSE,"UTILIZATION";#N/A,#N/A,FALSE,"RATE CODE"}</definedName>
    <definedName name="ibnr1" localSheetId="29" hidden="1">{#N/A,#N/A,FALSE,"BAL SHT";#N/A,#N/A,FALSE,"INCOME STMT";#N/A,#N/A,FALSE,"UTILIZATION";#N/A,#N/A,FALSE,"RATE CODE"}</definedName>
    <definedName name="ibnr1" localSheetId="21" hidden="1">{#N/A,#N/A,FALSE,"BAL SHT";#N/A,#N/A,FALSE,"INCOME STMT";#N/A,#N/A,FALSE,"UTILIZATION";#N/A,#N/A,FALSE,"RATE CODE"}</definedName>
    <definedName name="ibnr1" localSheetId="6" hidden="1">{#N/A,#N/A,FALSE,"BAL SHT";#N/A,#N/A,FALSE,"INCOME STMT";#N/A,#N/A,FALSE,"UTILIZATION";#N/A,#N/A,FALSE,"RATE CODE"}</definedName>
    <definedName name="ibnr1" localSheetId="4" hidden="1">{#N/A,#N/A,FALSE,"BAL SHT";#N/A,#N/A,FALSE,"INCOME STMT";#N/A,#N/A,FALSE,"UTILIZATION";#N/A,#N/A,FALSE,"RATE CODE"}</definedName>
    <definedName name="ibnr1" localSheetId="3" hidden="1">{#N/A,#N/A,FALSE,"BAL SHT";#N/A,#N/A,FALSE,"INCOME STMT";#N/A,#N/A,FALSE,"UTILIZATION";#N/A,#N/A,FALSE,"RATE CODE"}</definedName>
    <definedName name="ibnr1" localSheetId="31" hidden="1">{#N/A,#N/A,FALSE,"BAL SHT";#N/A,#N/A,FALSE,"INCOME STMT";#N/A,#N/A,FALSE,"UTILIZATION";#N/A,#N/A,FALSE,"RATE CODE"}</definedName>
    <definedName name="ibnr1" hidden="1">{#N/A,#N/A,FALSE,"BAL SHT";#N/A,#N/A,FALSE,"INCOME STMT";#N/A,#N/A,FALSE,"UTILIZATION";#N/A,#N/A,FALSE,"RATE CODE"}</definedName>
    <definedName name="ibnranalysis" localSheetId="15" hidden="1">{#N/A,#N/A,FALSE,"BAL SHT";#N/A,#N/A,FALSE,"INCOME STMT";#N/A,#N/A,FALSE,"UTILIZATION";#N/A,#N/A,FALSE,"RATE CODE"}</definedName>
    <definedName name="ibnranalysis" localSheetId="28" hidden="1">{#N/A,#N/A,FALSE,"BAL SHT";#N/A,#N/A,FALSE,"INCOME STMT";#N/A,#N/A,FALSE,"UTILIZATION";#N/A,#N/A,FALSE,"RATE CODE"}</definedName>
    <definedName name="ibnranalysis" localSheetId="29" hidden="1">{#N/A,#N/A,FALSE,"BAL SHT";#N/A,#N/A,FALSE,"INCOME STMT";#N/A,#N/A,FALSE,"UTILIZATION";#N/A,#N/A,FALSE,"RATE CODE"}</definedName>
    <definedName name="ibnranalysis" localSheetId="21" hidden="1">{#N/A,#N/A,FALSE,"BAL SHT";#N/A,#N/A,FALSE,"INCOME STMT";#N/A,#N/A,FALSE,"UTILIZATION";#N/A,#N/A,FALSE,"RATE CODE"}</definedName>
    <definedName name="ibnranalysis" localSheetId="6" hidden="1">{#N/A,#N/A,FALSE,"BAL SHT";#N/A,#N/A,FALSE,"INCOME STMT";#N/A,#N/A,FALSE,"UTILIZATION";#N/A,#N/A,FALSE,"RATE CODE"}</definedName>
    <definedName name="ibnranalysis" localSheetId="4" hidden="1">{#N/A,#N/A,FALSE,"BAL SHT";#N/A,#N/A,FALSE,"INCOME STMT";#N/A,#N/A,FALSE,"UTILIZATION";#N/A,#N/A,FALSE,"RATE CODE"}</definedName>
    <definedName name="ibnranalysis" localSheetId="3" hidden="1">{#N/A,#N/A,FALSE,"BAL SHT";#N/A,#N/A,FALSE,"INCOME STMT";#N/A,#N/A,FALSE,"UTILIZATION";#N/A,#N/A,FALSE,"RATE CODE"}</definedName>
    <definedName name="ibnranalysis" localSheetId="31" hidden="1">{#N/A,#N/A,FALSE,"BAL SHT";#N/A,#N/A,FALSE,"INCOME STMT";#N/A,#N/A,FALSE,"UTILIZATION";#N/A,#N/A,FALSE,"RATE CODE"}</definedName>
    <definedName name="ibnranalysis" hidden="1">{#N/A,#N/A,FALSE,"BAL SHT";#N/A,#N/A,FALSE,"INCOME STMT";#N/A,#N/A,FALSE,"UTILIZATION";#N/A,#N/A,FALSE,"RATE CODE"}</definedName>
    <definedName name="IBNRI" localSheetId="15" hidden="1">{#N/A,#N/A,FALSE,"BAL SHT";#N/A,#N/A,FALSE,"INCOME STMT";#N/A,#N/A,FALSE,"UTILIZATION";#N/A,#N/A,FALSE,"RATE CODE"}</definedName>
    <definedName name="IBNRI" localSheetId="28" hidden="1">{#N/A,#N/A,FALSE,"BAL SHT";#N/A,#N/A,FALSE,"INCOME STMT";#N/A,#N/A,FALSE,"UTILIZATION";#N/A,#N/A,FALSE,"RATE CODE"}</definedName>
    <definedName name="IBNRI" localSheetId="29" hidden="1">{#N/A,#N/A,FALSE,"BAL SHT";#N/A,#N/A,FALSE,"INCOME STMT";#N/A,#N/A,FALSE,"UTILIZATION";#N/A,#N/A,FALSE,"RATE CODE"}</definedName>
    <definedName name="IBNRI" localSheetId="21" hidden="1">{#N/A,#N/A,FALSE,"BAL SHT";#N/A,#N/A,FALSE,"INCOME STMT";#N/A,#N/A,FALSE,"UTILIZATION";#N/A,#N/A,FALSE,"RATE CODE"}</definedName>
    <definedName name="IBNRI" localSheetId="6" hidden="1">{#N/A,#N/A,FALSE,"BAL SHT";#N/A,#N/A,FALSE,"INCOME STMT";#N/A,#N/A,FALSE,"UTILIZATION";#N/A,#N/A,FALSE,"RATE CODE"}</definedName>
    <definedName name="IBNRI" localSheetId="4" hidden="1">{#N/A,#N/A,FALSE,"BAL SHT";#N/A,#N/A,FALSE,"INCOME STMT";#N/A,#N/A,FALSE,"UTILIZATION";#N/A,#N/A,FALSE,"RATE CODE"}</definedName>
    <definedName name="IBNRI" localSheetId="3" hidden="1">{#N/A,#N/A,FALSE,"BAL SHT";#N/A,#N/A,FALSE,"INCOME STMT";#N/A,#N/A,FALSE,"UTILIZATION";#N/A,#N/A,FALSE,"RATE CODE"}</definedName>
    <definedName name="IBNRI" localSheetId="31" hidden="1">{#N/A,#N/A,FALSE,"BAL SHT";#N/A,#N/A,FALSE,"INCOME STMT";#N/A,#N/A,FALSE,"UTILIZATION";#N/A,#N/A,FALSE,"RATE CODE"}</definedName>
    <definedName name="IBNRI" hidden="1">{#N/A,#N/A,FALSE,"BAL SHT";#N/A,#N/A,FALSE,"INCOME STMT";#N/A,#N/A,FALSE,"UTILIZATION";#N/A,#N/A,FALSE,"RATE CODE"}</definedName>
    <definedName name="IP_ALOS" localSheetId="15">OFFSET([12]!Dates,44,0)</definedName>
    <definedName name="IP_ALOS" localSheetId="29">OFFSET([12]!Dates,44,0)</definedName>
    <definedName name="IP_ALOS" localSheetId="30">OFFSET([12]!Dates,44,0)</definedName>
    <definedName name="IP_ALOS" localSheetId="31">OFFSET([12]!Dates,44,0)</definedName>
    <definedName name="IP_ALOS">OFFSET([12]!Dates,44,0)</definedName>
    <definedName name="JUNE" localSheetId="15">#REF!</definedName>
    <definedName name="JUNE" localSheetId="28">#REF!</definedName>
    <definedName name="JUNE" localSheetId="29">#REF!</definedName>
    <definedName name="JUNE" localSheetId="21">#REF!</definedName>
    <definedName name="JUNE" localSheetId="3">#REF!</definedName>
    <definedName name="JUNE">#REF!</definedName>
    <definedName name="LAG_TRIANGLE" localSheetId="15">#REF!</definedName>
    <definedName name="LAG_TRIANGLE" localSheetId="29">#REF!</definedName>
    <definedName name="LAG_TRIANGLE" localSheetId="3">#REF!</definedName>
    <definedName name="LAG_TRIANGLE">#REF!</definedName>
    <definedName name="LastCell" localSheetId="15">#REF!</definedName>
    <definedName name="LastCell" localSheetId="29">#REF!</definedName>
    <definedName name="LastCell" localSheetId="3">#REF!</definedName>
    <definedName name="LastCell">#REF!</definedName>
    <definedName name="LISACCT" localSheetId="15">#REF!</definedName>
    <definedName name="LISACCT">#REF!</definedName>
    <definedName name="LISAMT" localSheetId="15">#REF!</definedName>
    <definedName name="LISAMT">#REF!</definedName>
    <definedName name="MACROS" localSheetId="15">#REF!</definedName>
    <definedName name="MACROS">#REF!</definedName>
    <definedName name="MAR" localSheetId="15">#REF!</definedName>
    <definedName name="MAR">#REF!</definedName>
    <definedName name="NEWAMT" localSheetId="15">#REF!</definedName>
    <definedName name="NEWAMT">#REF!</definedName>
    <definedName name="NEWAMT1" localSheetId="15">#REF!</definedName>
    <definedName name="NEWAMT1">#REF!</definedName>
    <definedName name="NEWAMT2" localSheetId="15">'[4]INVOICES RECEIVED'!#REF!</definedName>
    <definedName name="NEWAMT2" localSheetId="28">'[4]INVOICES RECEIVED'!#REF!</definedName>
    <definedName name="NEWAMT2" localSheetId="29">'[4]INVOICES RECEIVED'!#REF!</definedName>
    <definedName name="NEWAMT2" localSheetId="21">'[4]INVOICES RECEIVED'!#REF!</definedName>
    <definedName name="NEWAMT2" localSheetId="3">'[4]INVOICES RECEIVED'!#REF!</definedName>
    <definedName name="NEWAMT2">'[4]INVOICES RECEIVED'!#REF!</definedName>
    <definedName name="PartC" localSheetId="15">#REF!</definedName>
    <definedName name="PartC" localSheetId="28">#REF!</definedName>
    <definedName name="PartC" localSheetId="29">#REF!</definedName>
    <definedName name="PartC" localSheetId="21">#REF!</definedName>
    <definedName name="PartC" localSheetId="3">#REF!</definedName>
    <definedName name="PartC">#REF!</definedName>
    <definedName name="phytbl">'[11]gl_phy Table'!$A$406:$B$516</definedName>
    <definedName name="_xlnm.Print_Area" localSheetId="4">'FS-Footnotes 3.06'!$A$1:$J$370</definedName>
    <definedName name="_xlnm.Print_Area" localSheetId="30">'MLR H-1  '!$A$2:$Q$116</definedName>
    <definedName name="_xlnm.Print_Titles" localSheetId="4">'FS-Footnotes 3.06'!$2:$3</definedName>
    <definedName name="_xlnm.Print_Titles" localSheetId="30">'MLR H-1  '!$2:$5</definedName>
    <definedName name="qtr">'[11]gl_phy Table'!$A$522:$B$583</definedName>
    <definedName name="REBATE" localSheetId="15">#REF!</definedName>
    <definedName name="REBATE" localSheetId="28">#REF!</definedName>
    <definedName name="REBATE" localSheetId="29">#REF!</definedName>
    <definedName name="REBATE" localSheetId="21">#REF!</definedName>
    <definedName name="REBATE" localSheetId="3">#REF!</definedName>
    <definedName name="REBATE">#REF!</definedName>
    <definedName name="Rpt11A_Q1_Apache" localSheetId="15">'[13]RPT 11A_old'!$A$4:$G$46,'[13]RPT 11A_old'!$A$50:$G$92,'[13]RPT 11A_old'!$A$96:$G$138</definedName>
    <definedName name="Rpt11A_Q1_Apache" localSheetId="28">'[14]RPT 11A_old'!$A$4:$G$46,'[14]RPT 11A_old'!$A$50:$G$92,'[14]RPT 11A_old'!$A$96:$G$138</definedName>
    <definedName name="Rpt11A_Q1_Apache" localSheetId="29">'[14]RPT 11A_old'!$A$4:$G$46,'[14]RPT 11A_old'!$A$50:$G$92,'[14]RPT 11A_old'!$A$96:$G$138</definedName>
    <definedName name="Rpt11A_Q1_Apache" localSheetId="21">'[14]RPT 11A_old'!$A$4:$G$46,'[14]RPT 11A_old'!$A$50:$G$92,'[14]RPT 11A_old'!$A$96:$G$138</definedName>
    <definedName name="Rpt11A_Q1_Apache">'[13]RPT 11A_old'!$A$4:$G$46,'[13]RPT 11A_old'!$A$50:$G$92,'[13]RPT 11A_old'!$A$96:$G$138</definedName>
    <definedName name="Rpt11A_Q1_Coconino" localSheetId="15">'[13]RPT 11A_old'!$I$4:$O$46,'[13]RPT 11A_old'!$I$50:$O$92,'[13]RPT 11A_old'!$I$96:$O$138</definedName>
    <definedName name="Rpt11A_Q1_Coconino" localSheetId="28">'[14]RPT 11A_old'!$I$4:$O$46,'[14]RPT 11A_old'!$I$50:$O$92,'[14]RPT 11A_old'!$I$96:$O$138</definedName>
    <definedName name="Rpt11A_Q1_Coconino" localSheetId="29">'[14]RPT 11A_old'!$I$4:$O$46,'[14]RPT 11A_old'!$I$50:$O$92,'[14]RPT 11A_old'!$I$96:$O$138</definedName>
    <definedName name="Rpt11A_Q1_Coconino" localSheetId="21">'[14]RPT 11A_old'!$I$4:$O$46,'[14]RPT 11A_old'!$I$50:$O$92,'[14]RPT 11A_old'!$I$96:$O$138</definedName>
    <definedName name="Rpt11A_Q1_Coconino">'[13]RPT 11A_old'!$I$4:$O$46,'[13]RPT 11A_old'!$I$50:$O$92,'[13]RPT 11A_old'!$I$96:$O$138</definedName>
    <definedName name="Rpt11A_Q1_LaPaz" localSheetId="15">'[13]RPT 11A_old'!$Q$4:$W$46,'[13]RPT 11A_old'!$Q$50:$W$92,'[13]RPT 11A_old'!$Q$96:$W$138</definedName>
    <definedName name="Rpt11A_Q1_LaPaz" localSheetId="28">'[14]RPT 11A_old'!$Q$4:$W$46,'[14]RPT 11A_old'!$Q$50:$W$92,'[14]RPT 11A_old'!$Q$96:$W$138</definedName>
    <definedName name="Rpt11A_Q1_LaPaz" localSheetId="29">'[14]RPT 11A_old'!$Q$4:$W$46,'[14]RPT 11A_old'!$Q$50:$W$92,'[14]RPT 11A_old'!$Q$96:$W$138</definedName>
    <definedName name="Rpt11A_Q1_LaPaz" localSheetId="21">'[14]RPT 11A_old'!$Q$4:$W$46,'[14]RPT 11A_old'!$Q$50:$W$92,'[14]RPT 11A_old'!$Q$96:$W$138</definedName>
    <definedName name="Rpt11A_Q1_LaPaz">'[13]RPT 11A_old'!$Q$4:$W$46,'[13]RPT 11A_old'!$Q$50:$W$92,'[13]RPT 11A_old'!$Q$96:$W$138</definedName>
    <definedName name="Rpt11A_Q1_Maricopa" localSheetId="15">'[13]RPT 11A_old'!$Y$4:$AE$46,'[13]RPT 11A_old'!$Y$50:$AE$92,'[13]RPT 11A_old'!$Y$96:$AE$138</definedName>
    <definedName name="Rpt11A_Q1_Maricopa" localSheetId="28">'[14]RPT 11A_old'!$Y$4:$AE$46,'[14]RPT 11A_old'!$Y$50:$AE$92,'[14]RPT 11A_old'!$Y$96:$AE$138</definedName>
    <definedName name="Rpt11A_Q1_Maricopa" localSheetId="29">'[14]RPT 11A_old'!$Y$4:$AE$46,'[14]RPT 11A_old'!$Y$50:$AE$92,'[14]RPT 11A_old'!$Y$96:$AE$138</definedName>
    <definedName name="Rpt11A_Q1_Maricopa" localSheetId="21">'[14]RPT 11A_old'!$Y$4:$AE$46,'[14]RPT 11A_old'!$Y$50:$AE$92,'[14]RPT 11A_old'!$Y$96:$AE$138</definedName>
    <definedName name="Rpt11A_Q1_Maricopa">'[13]RPT 11A_old'!$Y$4:$AE$46,'[13]RPT 11A_old'!$Y$50:$AE$92,'[13]RPT 11A_old'!$Y$96:$AE$138</definedName>
    <definedName name="Rpt11A_Q1_Mohave" localSheetId="15">'[13]RPT 11A_old'!$AG$4:$AM$46,'[13]RPT 11A_old'!$AG$50:$AM$92,'[13]RPT 11A_old'!$AG$96:$AM$138</definedName>
    <definedName name="Rpt11A_Q1_Mohave" localSheetId="28">'[14]RPT 11A_old'!$AG$4:$AM$46,'[14]RPT 11A_old'!$AG$50:$AM$92,'[14]RPT 11A_old'!$AG$96:$AM$138</definedName>
    <definedName name="Rpt11A_Q1_Mohave" localSheetId="29">'[14]RPT 11A_old'!$AG$4:$AM$46,'[14]RPT 11A_old'!$AG$50:$AM$92,'[14]RPT 11A_old'!$AG$96:$AM$138</definedName>
    <definedName name="Rpt11A_Q1_Mohave" localSheetId="21">'[14]RPT 11A_old'!$AG$4:$AM$46,'[14]RPT 11A_old'!$AG$50:$AM$92,'[14]RPT 11A_old'!$AG$96:$AM$138</definedName>
    <definedName name="Rpt11A_Q1_Mohave">'[13]RPT 11A_old'!$AG$4:$AM$46,'[13]RPT 11A_old'!$AG$50:$AM$92,'[13]RPT 11A_old'!$AG$96:$AM$138</definedName>
    <definedName name="Rpt11A_Q1_Navajo" localSheetId="15">'[13]RPT 11A_old'!$AO$4:$AU$46,'[13]RPT 11A_old'!$AO$50:$AU$92,'[13]RPT 11A_old'!$AO$96:$AU$138</definedName>
    <definedName name="Rpt11A_Q1_Navajo" localSheetId="28">'[14]RPT 11A_old'!$AO$4:$AU$46,'[14]RPT 11A_old'!$AO$50:$AU$92,'[14]RPT 11A_old'!$AO$96:$AU$138</definedName>
    <definedName name="Rpt11A_Q1_Navajo" localSheetId="29">'[14]RPT 11A_old'!$AO$4:$AU$46,'[14]RPT 11A_old'!$AO$50:$AU$92,'[14]RPT 11A_old'!$AO$96:$AU$138</definedName>
    <definedName name="Rpt11A_Q1_Navajo" localSheetId="21">'[14]RPT 11A_old'!$AO$4:$AU$46,'[14]RPT 11A_old'!$AO$50:$AU$92,'[14]RPT 11A_old'!$AO$96:$AU$138</definedName>
    <definedName name="Rpt11A_Q1_Navajo">'[13]RPT 11A_old'!$AO$4:$AU$46,'[13]RPT 11A_old'!$AO$50:$AU$92,'[13]RPT 11A_old'!$AO$96:$AU$138</definedName>
    <definedName name="Rpt11A_Q1_Yuma" localSheetId="15">'[13]RPT 11A_old'!$AW$4:$BC$46,'[13]RPT 11A_old'!$AW$50:$BC$92,'[13]RPT 11A_old'!$AW$96:$BC$138</definedName>
    <definedName name="Rpt11A_Q1_Yuma" localSheetId="28">'[14]RPT 11A_old'!$AW$4:$BC$46,'[14]RPT 11A_old'!$AW$50:$BC$92,'[14]RPT 11A_old'!$AW$96:$BC$138</definedName>
    <definedName name="Rpt11A_Q1_Yuma" localSheetId="29">'[14]RPT 11A_old'!$AW$4:$BC$46,'[14]RPT 11A_old'!$AW$50:$BC$92,'[14]RPT 11A_old'!$AW$96:$BC$138</definedName>
    <definedName name="Rpt11A_Q1_Yuma" localSheetId="21">'[14]RPT 11A_old'!$AW$4:$BC$46,'[14]RPT 11A_old'!$AW$50:$BC$92,'[14]RPT 11A_old'!$AW$96:$BC$138</definedName>
    <definedName name="Rpt11A_Q1_Yuma">'[13]RPT 11A_old'!$AW$4:$BC$46,'[13]RPT 11A_old'!$AW$50:$BC$92,'[13]RPT 11A_old'!$AW$96:$BC$138</definedName>
    <definedName name="Rpt11A_Q2_Apache" localSheetId="15">'[13]RPT 11A_old'!$A$142:$G$184,'[13]RPT 11A_old'!$A$188:$G$230,'[13]RPT 11A_old'!$A$234:$G$276</definedName>
    <definedName name="Rpt11A_Q2_Apache" localSheetId="28">'[14]RPT 11A_old'!$A$142:$G$184,'[14]RPT 11A_old'!$A$188:$G$230,'[14]RPT 11A_old'!$A$234:$G$276</definedName>
    <definedName name="Rpt11A_Q2_Apache" localSheetId="29">'[14]RPT 11A_old'!$A$142:$G$184,'[14]RPT 11A_old'!$A$188:$G$230,'[14]RPT 11A_old'!$A$234:$G$276</definedName>
    <definedName name="Rpt11A_Q2_Apache" localSheetId="21">'[14]RPT 11A_old'!$A$142:$G$184,'[14]RPT 11A_old'!$A$188:$G$230,'[14]RPT 11A_old'!$A$234:$G$276</definedName>
    <definedName name="Rpt11A_Q2_Apache">'[13]RPT 11A_old'!$A$142:$G$184,'[13]RPT 11A_old'!$A$188:$G$230,'[13]RPT 11A_old'!$A$234:$G$276</definedName>
    <definedName name="Rpt11A_Q2_Coconino" localSheetId="15">'[13]RPT 11A_old'!$I$142:$O$184,'[13]RPT 11A_old'!$I$188:$O$230,'[13]RPT 11A_old'!$I$234:$O$276</definedName>
    <definedName name="Rpt11A_Q2_Coconino" localSheetId="28">'[14]RPT 11A_old'!$I$142:$O$184,'[14]RPT 11A_old'!$I$188:$O$230,'[14]RPT 11A_old'!$I$234:$O$276</definedName>
    <definedName name="Rpt11A_Q2_Coconino" localSheetId="29">'[14]RPT 11A_old'!$I$142:$O$184,'[14]RPT 11A_old'!$I$188:$O$230,'[14]RPT 11A_old'!$I$234:$O$276</definedName>
    <definedName name="Rpt11A_Q2_Coconino" localSheetId="21">'[14]RPT 11A_old'!$I$142:$O$184,'[14]RPT 11A_old'!$I$188:$O$230,'[14]RPT 11A_old'!$I$234:$O$276</definedName>
    <definedName name="Rpt11A_Q2_Coconino">'[13]RPT 11A_old'!$I$142:$O$184,'[13]RPT 11A_old'!$I$188:$O$230,'[13]RPT 11A_old'!$I$234:$O$276</definedName>
    <definedName name="Rpt11A_Q2_LaPaz" localSheetId="15">'[13]RPT 11A_old'!$Q$142:$W$184,'[13]RPT 11A_old'!$Q$188:$W$230,'[13]RPT 11A_old'!$Q$234:$W$276</definedName>
    <definedName name="Rpt11A_Q2_LaPaz" localSheetId="28">'[14]RPT 11A_old'!$Q$142:$W$184,'[14]RPT 11A_old'!$Q$188:$W$230,'[14]RPT 11A_old'!$Q$234:$W$276</definedName>
    <definedName name="Rpt11A_Q2_LaPaz" localSheetId="29">'[14]RPT 11A_old'!$Q$142:$W$184,'[14]RPT 11A_old'!$Q$188:$W$230,'[14]RPT 11A_old'!$Q$234:$W$276</definedName>
    <definedName name="Rpt11A_Q2_LaPaz" localSheetId="21">'[14]RPT 11A_old'!$Q$142:$W$184,'[14]RPT 11A_old'!$Q$188:$W$230,'[14]RPT 11A_old'!$Q$234:$W$276</definedName>
    <definedName name="Rpt11A_Q2_LaPaz">'[13]RPT 11A_old'!$Q$142:$W$184,'[13]RPT 11A_old'!$Q$188:$W$230,'[13]RPT 11A_old'!$Q$234:$W$276</definedName>
    <definedName name="Rpt11A_Q2_Maricopa" localSheetId="15">'[13]RPT 11A_old'!$Y$142:$AE$184,'[13]RPT 11A_old'!$Y$188:$AE$230,'[13]RPT 11A_old'!$Y$234:$AE$276</definedName>
    <definedName name="Rpt11A_Q2_Maricopa" localSheetId="28">'[14]RPT 11A_old'!$Y$142:$AE$184,'[14]RPT 11A_old'!$Y$188:$AE$230,'[14]RPT 11A_old'!$Y$234:$AE$276</definedName>
    <definedName name="Rpt11A_Q2_Maricopa" localSheetId="29">'[14]RPT 11A_old'!$Y$142:$AE$184,'[14]RPT 11A_old'!$Y$188:$AE$230,'[14]RPT 11A_old'!$Y$234:$AE$276</definedName>
    <definedName name="Rpt11A_Q2_Maricopa" localSheetId="21">'[14]RPT 11A_old'!$Y$142:$AE$184,'[14]RPT 11A_old'!$Y$188:$AE$230,'[14]RPT 11A_old'!$Y$234:$AE$276</definedName>
    <definedName name="Rpt11A_Q2_Maricopa">'[13]RPT 11A_old'!$Y$142:$AE$184,'[13]RPT 11A_old'!$Y$188:$AE$230,'[13]RPT 11A_old'!$Y$234:$AE$276</definedName>
    <definedName name="Rpt11A_Q2_Mohave" localSheetId="15">'[13]RPT 11A_old'!$AG$142:$AM$184,'[13]RPT 11A_old'!$AG$188:$AM$230,'[13]RPT 11A_old'!$AG$234:$AM$276</definedName>
    <definedName name="Rpt11A_Q2_Mohave" localSheetId="28">'[14]RPT 11A_old'!$AG$142:$AM$184,'[14]RPT 11A_old'!$AG$188:$AM$230,'[14]RPT 11A_old'!$AG$234:$AM$276</definedName>
    <definedName name="Rpt11A_Q2_Mohave" localSheetId="29">'[14]RPT 11A_old'!$AG$142:$AM$184,'[14]RPT 11A_old'!$AG$188:$AM$230,'[14]RPT 11A_old'!$AG$234:$AM$276</definedName>
    <definedName name="Rpt11A_Q2_Mohave" localSheetId="21">'[14]RPT 11A_old'!$AG$142:$AM$184,'[14]RPT 11A_old'!$AG$188:$AM$230,'[14]RPT 11A_old'!$AG$234:$AM$276</definedName>
    <definedName name="Rpt11A_Q2_Mohave">'[13]RPT 11A_old'!$AG$142:$AM$184,'[13]RPT 11A_old'!$AG$188:$AM$230,'[13]RPT 11A_old'!$AG$234:$AM$276</definedName>
    <definedName name="Rpt11A_Q2_Navajo" localSheetId="15">'[13]RPT 11A_old'!$AO$142:$AU$184,'[13]RPT 11A_old'!$AO$188:$AU$230,'[13]RPT 11A_old'!$AO$234:$AU$276</definedName>
    <definedName name="Rpt11A_Q2_Navajo" localSheetId="28">'[14]RPT 11A_old'!$AO$142:$AU$184,'[14]RPT 11A_old'!$AO$188:$AU$230,'[14]RPT 11A_old'!$AO$234:$AU$276</definedName>
    <definedName name="Rpt11A_Q2_Navajo" localSheetId="29">'[14]RPT 11A_old'!$AO$142:$AU$184,'[14]RPT 11A_old'!$AO$188:$AU$230,'[14]RPT 11A_old'!$AO$234:$AU$276</definedName>
    <definedName name="Rpt11A_Q2_Navajo" localSheetId="21">'[14]RPT 11A_old'!$AO$142:$AU$184,'[14]RPT 11A_old'!$AO$188:$AU$230,'[14]RPT 11A_old'!$AO$234:$AU$276</definedName>
    <definedName name="Rpt11A_Q2_Navajo">'[13]RPT 11A_old'!$AO$142:$AU$184,'[13]RPT 11A_old'!$AO$188:$AU$230,'[13]RPT 11A_old'!$AO$234:$AU$276</definedName>
    <definedName name="Rpt11A_Q2_Yuma" localSheetId="15">'[13]RPT 11A_old'!$AW$142:$BC$184,'[13]RPT 11A_old'!$AW$188:$BC$230,'[13]RPT 11A_old'!$AW$234:$BC$276</definedName>
    <definedName name="Rpt11A_Q2_Yuma" localSheetId="28">'[14]RPT 11A_old'!$AW$142:$BC$184,'[14]RPT 11A_old'!$AW$188:$BC$230,'[14]RPT 11A_old'!$AW$234:$BC$276</definedName>
    <definedName name="Rpt11A_Q2_Yuma" localSheetId="29">'[14]RPT 11A_old'!$AW$142:$BC$184,'[14]RPT 11A_old'!$AW$188:$BC$230,'[14]RPT 11A_old'!$AW$234:$BC$276</definedName>
    <definedName name="Rpt11A_Q2_Yuma" localSheetId="21">'[14]RPT 11A_old'!$AW$142:$BC$184,'[14]RPT 11A_old'!$AW$188:$BC$230,'[14]RPT 11A_old'!$AW$234:$BC$276</definedName>
    <definedName name="Rpt11A_Q2_Yuma">'[13]RPT 11A_old'!$AW$142:$BC$184,'[13]RPT 11A_old'!$AW$188:$BC$230,'[13]RPT 11A_old'!$AW$234:$BC$276</definedName>
    <definedName name="Rpt11A_Q3_Apache" localSheetId="15">'[13]RPT 11A_old'!$A$280:$G$322,'[13]RPT 11A_old'!$A$326:$G$368,'[13]RPT 11A_old'!$A$372:$G$414</definedName>
    <definedName name="Rpt11A_Q3_Apache" localSheetId="28">'[14]RPT 11A_old'!$A$280:$G$322,'[14]RPT 11A_old'!$A$326:$G$368,'[14]RPT 11A_old'!$A$372:$G$414</definedName>
    <definedName name="Rpt11A_Q3_Apache" localSheetId="29">'[14]RPT 11A_old'!$A$280:$G$322,'[14]RPT 11A_old'!$A$326:$G$368,'[14]RPT 11A_old'!$A$372:$G$414</definedName>
    <definedName name="Rpt11A_Q3_Apache" localSheetId="21">'[14]RPT 11A_old'!$A$280:$G$322,'[14]RPT 11A_old'!$A$326:$G$368,'[14]RPT 11A_old'!$A$372:$G$414</definedName>
    <definedName name="Rpt11A_Q3_Apache">'[13]RPT 11A_old'!$A$280:$G$322,'[13]RPT 11A_old'!$A$326:$G$368,'[13]RPT 11A_old'!$A$372:$G$414</definedName>
    <definedName name="Rpt11A_Q3_Coconino" localSheetId="15">'[13]RPT 11A_old'!$I$280:$O$322,'[13]RPT 11A_old'!$I$326:$O$368,'[13]RPT 11A_old'!$I$372:$O$414</definedName>
    <definedName name="Rpt11A_Q3_Coconino" localSheetId="28">'[14]RPT 11A_old'!$I$280:$O$322,'[14]RPT 11A_old'!$I$326:$O$368,'[14]RPT 11A_old'!$I$372:$O$414</definedName>
    <definedName name="Rpt11A_Q3_Coconino" localSheetId="29">'[14]RPT 11A_old'!$I$280:$O$322,'[14]RPT 11A_old'!$I$326:$O$368,'[14]RPT 11A_old'!$I$372:$O$414</definedName>
    <definedName name="Rpt11A_Q3_Coconino" localSheetId="21">'[14]RPT 11A_old'!$I$280:$O$322,'[14]RPT 11A_old'!$I$326:$O$368,'[14]RPT 11A_old'!$I$372:$O$414</definedName>
    <definedName name="Rpt11A_Q3_Coconino">'[13]RPT 11A_old'!$I$280:$O$322,'[13]RPT 11A_old'!$I$326:$O$368,'[13]RPT 11A_old'!$I$372:$O$414</definedName>
    <definedName name="Rpt11A_Q3_LaPaz" localSheetId="15">'[13]RPT 11A_old'!$Q$280:$W$322,'[13]RPT 11A_old'!$Q$326:$W$368,'[13]RPT 11A_old'!$Q$372:$W$414</definedName>
    <definedName name="Rpt11A_Q3_LaPaz" localSheetId="28">'[14]RPT 11A_old'!$Q$280:$W$322,'[14]RPT 11A_old'!$Q$326:$W$368,'[14]RPT 11A_old'!$Q$372:$W$414</definedName>
    <definedName name="Rpt11A_Q3_LaPaz" localSheetId="29">'[14]RPT 11A_old'!$Q$280:$W$322,'[14]RPT 11A_old'!$Q$326:$W$368,'[14]RPT 11A_old'!$Q$372:$W$414</definedName>
    <definedName name="Rpt11A_Q3_LaPaz" localSheetId="21">'[14]RPT 11A_old'!$Q$280:$W$322,'[14]RPT 11A_old'!$Q$326:$W$368,'[14]RPT 11A_old'!$Q$372:$W$414</definedName>
    <definedName name="Rpt11A_Q3_LaPaz">'[13]RPT 11A_old'!$Q$280:$W$322,'[13]RPT 11A_old'!$Q$326:$W$368,'[13]RPT 11A_old'!$Q$372:$W$414</definedName>
    <definedName name="Rpt11A_Q3_Maricopa" localSheetId="15">'[13]RPT 11A_old'!$Y$280:$AE$322,'[13]RPT 11A_old'!$Y$326:$AE$368,'[13]RPT 11A_old'!$Y$372:$AE$414</definedName>
    <definedName name="Rpt11A_Q3_Maricopa" localSheetId="28">'[14]RPT 11A_old'!$Y$280:$AE$322,'[14]RPT 11A_old'!$Y$326:$AE$368,'[14]RPT 11A_old'!$Y$372:$AE$414</definedName>
    <definedName name="Rpt11A_Q3_Maricopa" localSheetId="29">'[14]RPT 11A_old'!$Y$280:$AE$322,'[14]RPT 11A_old'!$Y$326:$AE$368,'[14]RPT 11A_old'!$Y$372:$AE$414</definedName>
    <definedName name="Rpt11A_Q3_Maricopa" localSheetId="21">'[14]RPT 11A_old'!$Y$280:$AE$322,'[14]RPT 11A_old'!$Y$326:$AE$368,'[14]RPT 11A_old'!$Y$372:$AE$414</definedName>
    <definedName name="Rpt11A_Q3_Maricopa">'[13]RPT 11A_old'!$Y$280:$AE$322,'[13]RPT 11A_old'!$Y$326:$AE$368,'[13]RPT 11A_old'!$Y$372:$AE$414</definedName>
    <definedName name="Rpt11A_Q3_Mohave" localSheetId="15">'[13]RPT 11A_old'!$AG$280:$AM$322,'[13]RPT 11A_old'!$AG$326:$AM$368,'[13]RPT 11A_old'!$AG$372:$AM$414</definedName>
    <definedName name="Rpt11A_Q3_Mohave" localSheetId="28">'[14]RPT 11A_old'!$AG$280:$AM$322,'[14]RPT 11A_old'!$AG$326:$AM$368,'[14]RPT 11A_old'!$AG$372:$AM$414</definedName>
    <definedName name="Rpt11A_Q3_Mohave" localSheetId="29">'[14]RPT 11A_old'!$AG$280:$AM$322,'[14]RPT 11A_old'!$AG$326:$AM$368,'[14]RPT 11A_old'!$AG$372:$AM$414</definedName>
    <definedName name="Rpt11A_Q3_Mohave" localSheetId="21">'[14]RPT 11A_old'!$AG$280:$AM$322,'[14]RPT 11A_old'!$AG$326:$AM$368,'[14]RPT 11A_old'!$AG$372:$AM$414</definedName>
    <definedName name="Rpt11A_Q3_Mohave">'[13]RPT 11A_old'!$AG$280:$AM$322,'[13]RPT 11A_old'!$AG$326:$AM$368,'[13]RPT 11A_old'!$AG$372:$AM$414</definedName>
    <definedName name="Rpt11A_Q3_Navajo" localSheetId="15">'[13]RPT 11A_old'!$AO$280:$AU$322,'[13]RPT 11A_old'!$AO$326:$AU$368,'[13]RPT 11A_old'!$AO$372:$AU$414</definedName>
    <definedName name="Rpt11A_Q3_Navajo" localSheetId="28">'[14]RPT 11A_old'!$AO$280:$AU$322,'[14]RPT 11A_old'!$AO$326:$AU$368,'[14]RPT 11A_old'!$AO$372:$AU$414</definedName>
    <definedName name="Rpt11A_Q3_Navajo" localSheetId="29">'[14]RPT 11A_old'!$AO$280:$AU$322,'[14]RPT 11A_old'!$AO$326:$AU$368,'[14]RPT 11A_old'!$AO$372:$AU$414</definedName>
    <definedName name="Rpt11A_Q3_Navajo" localSheetId="21">'[14]RPT 11A_old'!$AO$280:$AU$322,'[14]RPT 11A_old'!$AO$326:$AU$368,'[14]RPT 11A_old'!$AO$372:$AU$414</definedName>
    <definedName name="Rpt11A_Q3_Navajo">'[13]RPT 11A_old'!$AO$280:$AU$322,'[13]RPT 11A_old'!$AO$326:$AU$368,'[13]RPT 11A_old'!$AO$372:$AU$414</definedName>
    <definedName name="Rpt11A_Q3_Yuma" localSheetId="15">'[13]RPT 11A_old'!$AW$280:$BC$322,'[13]RPT 11A_old'!$AW$326:$BC$368,'[13]RPT 11A_old'!$AW$372:$BC$414</definedName>
    <definedName name="Rpt11A_Q3_Yuma" localSheetId="28">'[14]RPT 11A_old'!$AW$280:$BC$322,'[14]RPT 11A_old'!$AW$326:$BC$368,'[14]RPT 11A_old'!$AW$372:$BC$414</definedName>
    <definedName name="Rpt11A_Q3_Yuma" localSheetId="29">'[14]RPT 11A_old'!$AW$280:$BC$322,'[14]RPT 11A_old'!$AW$326:$BC$368,'[14]RPT 11A_old'!$AW$372:$BC$414</definedName>
    <definedName name="Rpt11A_Q3_Yuma" localSheetId="21">'[14]RPT 11A_old'!$AW$280:$BC$322,'[14]RPT 11A_old'!$AW$326:$BC$368,'[14]RPT 11A_old'!$AW$372:$BC$414</definedName>
    <definedName name="Rpt11A_Q3_Yuma">'[13]RPT 11A_old'!$AW$280:$BC$322,'[13]RPT 11A_old'!$AW$326:$BC$368,'[13]RPT 11A_old'!$AW$372:$BC$414</definedName>
    <definedName name="Rpt11A_Q4_Apache" localSheetId="15">'[13]RPT 11A_old'!$A$418:$G$460,'[13]RPT 11A_old'!$A$464:$G$506,'[13]RPT 11A_old'!$A$510:$G$552</definedName>
    <definedName name="Rpt11A_Q4_Apache" localSheetId="28">'[14]RPT 11A_old'!$A$418:$G$460,'[14]RPT 11A_old'!$A$464:$G$506,'[14]RPT 11A_old'!$A$510:$G$552</definedName>
    <definedName name="Rpt11A_Q4_Apache" localSheetId="29">'[14]RPT 11A_old'!$A$418:$G$460,'[14]RPT 11A_old'!$A$464:$G$506,'[14]RPT 11A_old'!$A$510:$G$552</definedName>
    <definedName name="Rpt11A_Q4_Apache" localSheetId="21">'[14]RPT 11A_old'!$A$418:$G$460,'[14]RPT 11A_old'!$A$464:$G$506,'[14]RPT 11A_old'!$A$510:$G$552</definedName>
    <definedName name="Rpt11A_Q4_Apache">'[13]RPT 11A_old'!$A$418:$G$460,'[13]RPT 11A_old'!$A$464:$G$506,'[13]RPT 11A_old'!$A$510:$G$552</definedName>
    <definedName name="Rpt11A_Q4_Coconino" localSheetId="15">'[13]RPT 11A_old'!$I$418:$O$460,'[13]RPT 11A_old'!$I$464:$O$506,'[13]RPT 11A_old'!$I$510:$O$552</definedName>
    <definedName name="Rpt11A_Q4_Coconino" localSheetId="28">'[14]RPT 11A_old'!$I$418:$O$460,'[14]RPT 11A_old'!$I$464:$O$506,'[14]RPT 11A_old'!$I$510:$O$552</definedName>
    <definedName name="Rpt11A_Q4_Coconino" localSheetId="29">'[14]RPT 11A_old'!$I$418:$O$460,'[14]RPT 11A_old'!$I$464:$O$506,'[14]RPT 11A_old'!$I$510:$O$552</definedName>
    <definedName name="Rpt11A_Q4_Coconino" localSheetId="21">'[14]RPT 11A_old'!$I$418:$O$460,'[14]RPT 11A_old'!$I$464:$O$506,'[14]RPT 11A_old'!$I$510:$O$552</definedName>
    <definedName name="Rpt11A_Q4_Coconino">'[13]RPT 11A_old'!$I$418:$O$460,'[13]RPT 11A_old'!$I$464:$O$506,'[13]RPT 11A_old'!$I$510:$O$552</definedName>
    <definedName name="Rpt11A_Q4_LaPaz" localSheetId="15">'[13]RPT 11A_old'!$Q$418:$W$460,'[13]RPT 11A_old'!$Q$464:$W$506,'[13]RPT 11A_old'!$Q$510:$W$552</definedName>
    <definedName name="Rpt11A_Q4_LaPaz" localSheetId="28">'[14]RPT 11A_old'!$Q$418:$W$460,'[14]RPT 11A_old'!$Q$464:$W$506,'[14]RPT 11A_old'!$Q$510:$W$552</definedName>
    <definedName name="Rpt11A_Q4_LaPaz" localSheetId="29">'[14]RPT 11A_old'!$Q$418:$W$460,'[14]RPT 11A_old'!$Q$464:$W$506,'[14]RPT 11A_old'!$Q$510:$W$552</definedName>
    <definedName name="Rpt11A_Q4_LaPaz" localSheetId="21">'[14]RPT 11A_old'!$Q$418:$W$460,'[14]RPT 11A_old'!$Q$464:$W$506,'[14]RPT 11A_old'!$Q$510:$W$552</definedName>
    <definedName name="Rpt11A_Q4_LaPaz">'[13]RPT 11A_old'!$Q$418:$W$460,'[13]RPT 11A_old'!$Q$464:$W$506,'[13]RPT 11A_old'!$Q$510:$W$552</definedName>
    <definedName name="Rpt11A_Q4_Maricopa" localSheetId="15">'[13]RPT 11A_old'!$Y$418:$AE$460,'[13]RPT 11A_old'!$Y$464:$AE$506,'[13]RPT 11A_old'!$Y$510:$AE$552</definedName>
    <definedName name="Rpt11A_Q4_Maricopa" localSheetId="28">'[14]RPT 11A_old'!$Y$418:$AE$460,'[14]RPT 11A_old'!$Y$464:$AE$506,'[14]RPT 11A_old'!$Y$510:$AE$552</definedName>
    <definedName name="Rpt11A_Q4_Maricopa" localSheetId="29">'[14]RPT 11A_old'!$Y$418:$AE$460,'[14]RPT 11A_old'!$Y$464:$AE$506,'[14]RPT 11A_old'!$Y$510:$AE$552</definedName>
    <definedName name="Rpt11A_Q4_Maricopa" localSheetId="21">'[14]RPT 11A_old'!$Y$418:$AE$460,'[14]RPT 11A_old'!$Y$464:$AE$506,'[14]RPT 11A_old'!$Y$510:$AE$552</definedName>
    <definedName name="Rpt11A_Q4_Maricopa">'[13]RPT 11A_old'!$Y$418:$AE$460,'[13]RPT 11A_old'!$Y$464:$AE$506,'[13]RPT 11A_old'!$Y$510:$AE$552</definedName>
    <definedName name="Rpt11A_Q4_Mohave" localSheetId="15">'[13]RPT 11A_old'!$AG$418:$AM$460,'[13]RPT 11A_old'!$AG$464:$AM$506,'[13]RPT 11A_old'!$AG$510:$AM$552</definedName>
    <definedName name="Rpt11A_Q4_Mohave" localSheetId="28">'[14]RPT 11A_old'!$AG$418:$AM$460,'[14]RPT 11A_old'!$AG$464:$AM$506,'[14]RPT 11A_old'!$AG$510:$AM$552</definedName>
    <definedName name="Rpt11A_Q4_Mohave" localSheetId="29">'[14]RPT 11A_old'!$AG$418:$AM$460,'[14]RPT 11A_old'!$AG$464:$AM$506,'[14]RPT 11A_old'!$AG$510:$AM$552</definedName>
    <definedName name="Rpt11A_Q4_Mohave" localSheetId="21">'[14]RPT 11A_old'!$AG$418:$AM$460,'[14]RPT 11A_old'!$AG$464:$AM$506,'[14]RPT 11A_old'!$AG$510:$AM$552</definedName>
    <definedName name="Rpt11A_Q4_Mohave">'[13]RPT 11A_old'!$AG$418:$AM$460,'[13]RPT 11A_old'!$AG$464:$AM$506,'[13]RPT 11A_old'!$AG$510:$AM$552</definedName>
    <definedName name="Rpt11A_Q4_Navajo" localSheetId="15">'[13]RPT 11A_old'!$AO$418:$AU$460,'[13]RPT 11A_old'!$AO$464:$AU$506,'[13]RPT 11A_old'!$AO$510:$AU$552</definedName>
    <definedName name="Rpt11A_Q4_Navajo" localSheetId="28">'[14]RPT 11A_old'!$AO$418:$AU$460,'[14]RPT 11A_old'!$AO$464:$AU$506,'[14]RPT 11A_old'!$AO$510:$AU$552</definedName>
    <definedName name="Rpt11A_Q4_Navajo" localSheetId="29">'[14]RPT 11A_old'!$AO$418:$AU$460,'[14]RPT 11A_old'!$AO$464:$AU$506,'[14]RPT 11A_old'!$AO$510:$AU$552</definedName>
    <definedName name="Rpt11A_Q4_Navajo" localSheetId="21">'[14]RPT 11A_old'!$AO$418:$AU$460,'[14]RPT 11A_old'!$AO$464:$AU$506,'[14]RPT 11A_old'!$AO$510:$AU$552</definedName>
    <definedName name="Rpt11A_Q4_Navajo">'[13]RPT 11A_old'!$AO$418:$AU$460,'[13]RPT 11A_old'!$AO$464:$AU$506,'[13]RPT 11A_old'!$AO$510:$AU$552</definedName>
    <definedName name="Rpt11A_Q4_Yuma" localSheetId="15">'[13]RPT 11A_old'!$AW$418:$BC$460,'[13]RPT 11A_old'!$AW$464:$BC$506,'[13]RPT 11A_old'!$AW$510:$BC$552</definedName>
    <definedName name="Rpt11A_Q4_Yuma" localSheetId="28">'[14]RPT 11A_old'!$AW$418:$BC$460,'[14]RPT 11A_old'!$AW$464:$BC$506,'[14]RPT 11A_old'!$AW$510:$BC$552</definedName>
    <definedName name="Rpt11A_Q4_Yuma" localSheetId="29">'[14]RPT 11A_old'!$AW$418:$BC$460,'[14]RPT 11A_old'!$AW$464:$BC$506,'[14]RPT 11A_old'!$AW$510:$BC$552</definedName>
    <definedName name="Rpt11A_Q4_Yuma" localSheetId="21">'[14]RPT 11A_old'!$AW$418:$BC$460,'[14]RPT 11A_old'!$AW$464:$BC$506,'[14]RPT 11A_old'!$AW$510:$BC$552</definedName>
    <definedName name="Rpt11A_Q4_Yuma">'[13]RPT 11A_old'!$AW$418:$BC$460,'[13]RPT 11A_old'!$AW$464:$BC$506,'[13]RPT 11A_old'!$AW$510:$BC$552</definedName>
    <definedName name="Rpt11B_Q1" localSheetId="15">'[13]RPT 11B_old'!$A$4:$G$46,'[13]RPT 11B_old'!$A$50:$G$92,'[13]RPT 11B_old'!$A$96:$G$138</definedName>
    <definedName name="Rpt11B_Q1" localSheetId="28">'[14]RPT 11B_old'!$A$4:$G$46,'[14]RPT 11B_old'!$A$50:$G$92,'[14]RPT 11B_old'!$A$96:$G$138</definedName>
    <definedName name="Rpt11B_Q1" localSheetId="29">'[14]RPT 11B_old'!$A$4:$G$46,'[14]RPT 11B_old'!$A$50:$G$92,'[14]RPT 11B_old'!$A$96:$G$138</definedName>
    <definedName name="Rpt11B_Q1" localSheetId="21">'[14]RPT 11B_old'!$A$4:$G$46,'[14]RPT 11B_old'!$A$50:$G$92,'[14]RPT 11B_old'!$A$96:$G$138</definedName>
    <definedName name="Rpt11B_Q1">'[13]RPT 11B_old'!$A$4:$G$46,'[13]RPT 11B_old'!$A$50:$G$92,'[13]RPT 11B_old'!$A$96:$G$138</definedName>
    <definedName name="Rpt11B_Q2" localSheetId="15">'[13]RPT 11B_old'!$I$4:$O$46,'[13]RPT 11B_old'!$I$50:$O$92,'[13]RPT 11B_old'!$I$96:$O$138</definedName>
    <definedName name="Rpt11B_Q2" localSheetId="28">'[14]RPT 11B_old'!$I$4:$O$46,'[14]RPT 11B_old'!$I$50:$O$92,'[14]RPT 11B_old'!$I$96:$O$138</definedName>
    <definedName name="Rpt11B_Q2" localSheetId="29">'[14]RPT 11B_old'!$I$4:$O$46,'[14]RPT 11B_old'!$I$50:$O$92,'[14]RPT 11B_old'!$I$96:$O$138</definedName>
    <definedName name="Rpt11B_Q2" localSheetId="21">'[14]RPT 11B_old'!$I$4:$O$46,'[14]RPT 11B_old'!$I$50:$O$92,'[14]RPT 11B_old'!$I$96:$O$138</definedName>
    <definedName name="Rpt11B_Q2">'[13]RPT 11B_old'!$I$4:$O$46,'[13]RPT 11B_old'!$I$50:$O$92,'[13]RPT 11B_old'!$I$96:$O$138</definedName>
    <definedName name="Rpt11B_Q3" localSheetId="15">'[13]RPT 11B_old'!$Q$4:$W$46,'[13]RPT 11B_old'!$Q$50:$W$92,'[13]RPT 11B_old'!$Q$96:$W$138</definedName>
    <definedName name="Rpt11B_Q3" localSheetId="28">'[14]RPT 11B_old'!$Q$4:$W$46,'[14]RPT 11B_old'!$Q$50:$W$92,'[14]RPT 11B_old'!$Q$96:$W$138</definedName>
    <definedName name="Rpt11B_Q3" localSheetId="29">'[14]RPT 11B_old'!$Q$4:$W$46,'[14]RPT 11B_old'!$Q$50:$W$92,'[14]RPT 11B_old'!$Q$96:$W$138</definedName>
    <definedName name="Rpt11B_Q3" localSheetId="21">'[14]RPT 11B_old'!$Q$4:$W$46,'[14]RPT 11B_old'!$Q$50:$W$92,'[14]RPT 11B_old'!$Q$96:$W$138</definedName>
    <definedName name="Rpt11B_Q3">'[13]RPT 11B_old'!$Q$4:$W$46,'[13]RPT 11B_old'!$Q$50:$W$92,'[13]RPT 11B_old'!$Q$96:$W$138</definedName>
    <definedName name="Rpt11B_Q4" localSheetId="15">'[13]RPT 11B_old'!$Y$4:$AE$46,'[13]RPT 11B_old'!$Y$50:$AE$92,'[13]RPT 11B_old'!$Y$96:$AE$138</definedName>
    <definedName name="Rpt11B_Q4" localSheetId="28">'[14]RPT 11B_old'!$Y$4:$AE$46,'[14]RPT 11B_old'!$Y$50:$AE$92,'[14]RPT 11B_old'!$Y$96:$AE$138</definedName>
    <definedName name="Rpt11B_Q4" localSheetId="29">'[14]RPT 11B_old'!$Y$4:$AE$46,'[14]RPT 11B_old'!$Y$50:$AE$92,'[14]RPT 11B_old'!$Y$96:$AE$138</definedName>
    <definedName name="Rpt11B_Q4" localSheetId="21">'[14]RPT 11B_old'!$Y$4:$AE$46,'[14]RPT 11B_old'!$Y$50:$AE$92,'[14]RPT 11B_old'!$Y$96:$AE$138</definedName>
    <definedName name="Rpt11B_Q4">'[13]RPT 11B_old'!$Y$4:$AE$46,'[13]RPT 11B_old'!$Y$50:$AE$92,'[13]RPT 11B_old'!$Y$96:$AE$138</definedName>
    <definedName name="Rpt11C_Q1" localSheetId="15">'[13]RPT 11C_old'!$A$4:$G$46,'[13]RPT 11C_old'!$A$50:$G$92,'[13]RPT 11C_old'!$A$96:$G$138,'[13]RPT 11C_old'!$A$142:$G$184,'[13]RPT 11C_old'!$A$188:$G$230,'[13]RPT 11C_old'!$A$234:$G$276,'[13]RPT 11C_old'!$A$280:$G$322,'[13]RPT 11C_old'!$A$326:$G$368</definedName>
    <definedName name="Rpt11C_Q1" localSheetId="28">'[14]RPT 11C_old'!$A$4:$G$46,'[14]RPT 11C_old'!$A$50:$G$92,'[14]RPT 11C_old'!$A$96:$G$138,'[14]RPT 11C_old'!$A$142:$G$184,'[14]RPT 11C_old'!$A$188:$G$230,'[14]RPT 11C_old'!$A$234:$G$276,'[14]RPT 11C_old'!$A$280:$G$322,'[14]RPT 11C_old'!$A$326:$G$368</definedName>
    <definedName name="Rpt11C_Q1" localSheetId="29">'[14]RPT 11C_old'!$A$4:$G$46,'[14]RPT 11C_old'!$A$50:$G$92,'[14]RPT 11C_old'!$A$96:$G$138,'[14]RPT 11C_old'!$A$142:$G$184,'[14]RPT 11C_old'!$A$188:$G$230,'[14]RPT 11C_old'!$A$234:$G$276,'[14]RPT 11C_old'!$A$280:$G$322,'[14]RPT 11C_old'!$A$326:$G$368</definedName>
    <definedName name="Rpt11C_Q1" localSheetId="21">'[14]RPT 11C_old'!$A$4:$G$46,'[14]RPT 11C_old'!$A$50:$G$92,'[14]RPT 11C_old'!$A$96:$G$138,'[14]RPT 11C_old'!$A$142:$G$184,'[14]RPT 11C_old'!$A$188:$G$230,'[14]RPT 11C_old'!$A$234:$G$276,'[14]RPT 11C_old'!$A$280:$G$322,'[14]RPT 11C_old'!$A$326:$G$368</definedName>
    <definedName name="Rpt11C_Q1">'[13]RPT 11C_old'!$A$4:$G$46,'[13]RPT 11C_old'!$A$50:$G$92,'[13]RPT 11C_old'!$A$96:$G$138,'[13]RPT 11C_old'!$A$142:$G$184,'[13]RPT 11C_old'!$A$188:$G$230,'[13]RPT 11C_old'!$A$234:$G$276,'[13]RPT 11C_old'!$A$280:$G$322,'[13]RPT 11C_old'!$A$326:$G$368</definedName>
    <definedName name="Rpt11C_Q2" localSheetId="15">'[13]RPT 11C_old'!$I$4:$O$46,'[13]RPT 11C_old'!$I$50:$O$92,'[13]RPT 11C_old'!$I$96:$O$138,'[13]RPT 11C_old'!$I$142:$O$184,'[13]RPT 11C_old'!$I$188:$O$230,'[13]RPT 11C_old'!$I$234:$O$276,'[13]RPT 11C_old'!$I$280:$O$322,'[13]RPT 11C_old'!$I$326:$O$368</definedName>
    <definedName name="Rpt11C_Q2" localSheetId="28">'[14]RPT 11C_old'!$I$4:$O$46,'[14]RPT 11C_old'!$I$50:$O$92,'[14]RPT 11C_old'!$I$96:$O$138,'[14]RPT 11C_old'!$I$142:$O$184,'[14]RPT 11C_old'!$I$188:$O$230,'[14]RPT 11C_old'!$I$234:$O$276,'[14]RPT 11C_old'!$I$280:$O$322,'[14]RPT 11C_old'!$I$326:$O$368</definedName>
    <definedName name="Rpt11C_Q2" localSheetId="29">'[14]RPT 11C_old'!$I$4:$O$46,'[14]RPT 11C_old'!$I$50:$O$92,'[14]RPT 11C_old'!$I$96:$O$138,'[14]RPT 11C_old'!$I$142:$O$184,'[14]RPT 11C_old'!$I$188:$O$230,'[14]RPT 11C_old'!$I$234:$O$276,'[14]RPT 11C_old'!$I$280:$O$322,'[14]RPT 11C_old'!$I$326:$O$368</definedName>
    <definedName name="Rpt11C_Q2" localSheetId="21">'[14]RPT 11C_old'!$I$4:$O$46,'[14]RPT 11C_old'!$I$50:$O$92,'[14]RPT 11C_old'!$I$96:$O$138,'[14]RPT 11C_old'!$I$142:$O$184,'[14]RPT 11C_old'!$I$188:$O$230,'[14]RPT 11C_old'!$I$234:$O$276,'[14]RPT 11C_old'!$I$280:$O$322,'[14]RPT 11C_old'!$I$326:$O$368</definedName>
    <definedName name="Rpt11C_Q2">'[13]RPT 11C_old'!$I$4:$O$46,'[13]RPT 11C_old'!$I$50:$O$92,'[13]RPT 11C_old'!$I$96:$O$138,'[13]RPT 11C_old'!$I$142:$O$184,'[13]RPT 11C_old'!$I$188:$O$230,'[13]RPT 11C_old'!$I$234:$O$276,'[13]RPT 11C_old'!$I$280:$O$322,'[13]RPT 11C_old'!$I$326:$O$368</definedName>
    <definedName name="Rpt11C_Q3" localSheetId="15">'[13]RPT 11C_old'!$Q$4:$W$46,'[13]RPT 11C_old'!$Q$50:$W$92,'[13]RPT 11C_old'!$Q$96:$W$138,'[13]RPT 11C_old'!$Q$142:$W$184,'[13]RPT 11C_old'!$Q$188:$W$230,'[13]RPT 11C_old'!$Q$234:$W$276,'[13]RPT 11C_old'!$Q$280:$W$322,'[13]RPT 11C_old'!$Q$326:$W$368</definedName>
    <definedName name="Rpt11C_Q3" localSheetId="28">'[14]RPT 11C_old'!$Q$4:$W$46,'[14]RPT 11C_old'!$Q$50:$W$92,'[14]RPT 11C_old'!$Q$96:$W$138,'[14]RPT 11C_old'!$Q$142:$W$184,'[14]RPT 11C_old'!$Q$188:$W$230,'[14]RPT 11C_old'!$Q$234:$W$276,'[14]RPT 11C_old'!$Q$280:$W$322,'[14]RPT 11C_old'!$Q$326:$W$368</definedName>
    <definedName name="Rpt11C_Q3" localSheetId="29">'[14]RPT 11C_old'!$Q$4:$W$46,'[14]RPT 11C_old'!$Q$50:$W$92,'[14]RPT 11C_old'!$Q$96:$W$138,'[14]RPT 11C_old'!$Q$142:$W$184,'[14]RPT 11C_old'!$Q$188:$W$230,'[14]RPT 11C_old'!$Q$234:$W$276,'[14]RPT 11C_old'!$Q$280:$W$322,'[14]RPT 11C_old'!$Q$326:$W$368</definedName>
    <definedName name="Rpt11C_Q3" localSheetId="21">'[14]RPT 11C_old'!$Q$4:$W$46,'[14]RPT 11C_old'!$Q$50:$W$92,'[14]RPT 11C_old'!$Q$96:$W$138,'[14]RPT 11C_old'!$Q$142:$W$184,'[14]RPT 11C_old'!$Q$188:$W$230,'[14]RPT 11C_old'!$Q$234:$W$276,'[14]RPT 11C_old'!$Q$280:$W$322,'[14]RPT 11C_old'!$Q$326:$W$368</definedName>
    <definedName name="Rpt11C_Q3">'[13]RPT 11C_old'!$Q$4:$W$46,'[13]RPT 11C_old'!$Q$50:$W$92,'[13]RPT 11C_old'!$Q$96:$W$138,'[13]RPT 11C_old'!$Q$142:$W$184,'[13]RPT 11C_old'!$Q$188:$W$230,'[13]RPT 11C_old'!$Q$234:$W$276,'[13]RPT 11C_old'!$Q$280:$W$322,'[13]RPT 11C_old'!$Q$326:$W$368</definedName>
    <definedName name="Rpt11C_Q4" localSheetId="15">'[13]RPT 11C_old'!$Y$4:$AE$46,'[13]RPT 11C_old'!$Y$50:$AE$92,'[13]RPT 11C_old'!$Y$96:$AE$138,'[13]RPT 11C_old'!$Y$142:$AE$184,'[13]RPT 11C_old'!$Y$188:$AE$230,'[13]RPT 11C_old'!$Y$234:$AE$276,'[13]RPT 11C_old'!$Y$280:$AE$322,'[13]RPT 11C_old'!$Y$326:$AE$368</definedName>
    <definedName name="Rpt11C_Q4" localSheetId="28">'[14]RPT 11C_old'!$Y$4:$AE$46,'[14]RPT 11C_old'!$Y$50:$AE$92,'[14]RPT 11C_old'!$Y$96:$AE$138,'[14]RPT 11C_old'!$Y$142:$AE$184,'[14]RPT 11C_old'!$Y$188:$AE$230,'[14]RPT 11C_old'!$Y$234:$AE$276,'[14]RPT 11C_old'!$Y$280:$AE$322,'[14]RPT 11C_old'!$Y$326:$AE$368</definedName>
    <definedName name="Rpt11C_Q4" localSheetId="29">'[14]RPT 11C_old'!$Y$4:$AE$46,'[14]RPT 11C_old'!$Y$50:$AE$92,'[14]RPT 11C_old'!$Y$96:$AE$138,'[14]RPT 11C_old'!$Y$142:$AE$184,'[14]RPT 11C_old'!$Y$188:$AE$230,'[14]RPT 11C_old'!$Y$234:$AE$276,'[14]RPT 11C_old'!$Y$280:$AE$322,'[14]RPT 11C_old'!$Y$326:$AE$368</definedName>
    <definedName name="Rpt11C_Q4" localSheetId="21">'[14]RPT 11C_old'!$Y$4:$AE$46,'[14]RPT 11C_old'!$Y$50:$AE$92,'[14]RPT 11C_old'!$Y$96:$AE$138,'[14]RPT 11C_old'!$Y$142:$AE$184,'[14]RPT 11C_old'!$Y$188:$AE$230,'[14]RPT 11C_old'!$Y$234:$AE$276,'[14]RPT 11C_old'!$Y$280:$AE$322,'[14]RPT 11C_old'!$Y$326:$AE$368</definedName>
    <definedName name="Rpt11C_Q4">'[13]RPT 11C_old'!$Y$4:$AE$46,'[13]RPT 11C_old'!$Y$50:$AE$92,'[13]RPT 11C_old'!$Y$96:$AE$138,'[13]RPT 11C_old'!$Y$142:$AE$184,'[13]RPT 11C_old'!$Y$188:$AE$230,'[13]RPT 11C_old'!$Y$234:$AE$276,'[13]RPT 11C_old'!$Y$280:$AE$322,'[13]RPT 11C_old'!$Y$326:$AE$368</definedName>
    <definedName name="rxexp" localSheetId="15">#REF!</definedName>
    <definedName name="rxexp" localSheetId="29">#REF!</definedName>
    <definedName name="rxexp" localSheetId="21">#REF!</definedName>
    <definedName name="rxexp" localSheetId="4">#REF!</definedName>
    <definedName name="rxexp" localSheetId="3">#REF!</definedName>
    <definedName name="rxexp">#REF!</definedName>
    <definedName name="RXEXP1" localSheetId="15">#REF!</definedName>
    <definedName name="RXEXP1" localSheetId="29">#REF!</definedName>
    <definedName name="RXEXP1" localSheetId="3">#REF!</definedName>
    <definedName name="RXEXP1">#REF!</definedName>
    <definedName name="RXEXPACCT" localSheetId="15">#REF!</definedName>
    <definedName name="RXEXPACCT" localSheetId="29">#REF!</definedName>
    <definedName name="RXEXPACCT" localSheetId="3">#REF!</definedName>
    <definedName name="RXEXPACCT">#REF!</definedName>
    <definedName name="SEPT" localSheetId="15">#REF!</definedName>
    <definedName name="SEPT">#REF!</definedName>
    <definedName name="TEMPDATA" localSheetId="15">#REF!</definedName>
    <definedName name="TEMPDATA">#REF!</definedName>
    <definedName name="TOTAL" localSheetId="15">'[4]INVOICES RECEIVED'!#REF!</definedName>
    <definedName name="TOTAL">'[4]INVOICES RECEIVED'!#REF!</definedName>
    <definedName name="wrn.Financial._.Statements." localSheetId="15" hidden="1">{#N/A,#N/A,FALSE,"BAL SHT";#N/A,#N/A,FALSE,"INCOME STMT";#N/A,#N/A,FALSE,"UTILIZATION";#N/A,#N/A,FALSE,"RATE CODE"}</definedName>
    <definedName name="wrn.Financial._.Statements." localSheetId="28" hidden="1">{#N/A,#N/A,FALSE,"BAL SHT";#N/A,#N/A,FALSE,"INCOME STMT";#N/A,#N/A,FALSE,"UTILIZATION";#N/A,#N/A,FALSE,"RATE CODE"}</definedName>
    <definedName name="wrn.Financial._.Statements." localSheetId="29" hidden="1">{#N/A,#N/A,FALSE,"BAL SHT";#N/A,#N/A,FALSE,"INCOME STMT";#N/A,#N/A,FALSE,"UTILIZATION";#N/A,#N/A,FALSE,"RATE CODE"}</definedName>
    <definedName name="wrn.Financial._.Statements." localSheetId="21" hidden="1">{#N/A,#N/A,FALSE,"BAL SHT";#N/A,#N/A,FALSE,"INCOME STMT";#N/A,#N/A,FALSE,"UTILIZATION";#N/A,#N/A,FALSE,"RATE CODE"}</definedName>
    <definedName name="wrn.Financial._.Statements." localSheetId="6" hidden="1">{#N/A,#N/A,FALSE,"BAL SHT";#N/A,#N/A,FALSE,"INCOME STMT";#N/A,#N/A,FALSE,"UTILIZATION";#N/A,#N/A,FALSE,"RATE CODE"}</definedName>
    <definedName name="wrn.Financial._.Statements." localSheetId="4" hidden="1">{#N/A,#N/A,FALSE,"BAL SHT";#N/A,#N/A,FALSE,"INCOME STMT";#N/A,#N/A,FALSE,"UTILIZATION";#N/A,#N/A,FALSE,"RATE CODE"}</definedName>
    <definedName name="wrn.Financial._.Statements." localSheetId="3" hidden="1">{#N/A,#N/A,FALSE,"BAL SHT";#N/A,#N/A,FALSE,"INCOME STMT";#N/A,#N/A,FALSE,"UTILIZATION";#N/A,#N/A,FALSE,"RATE CODE"}</definedName>
    <definedName name="wrn.Financial._.Statements." localSheetId="31" hidden="1">{#N/A,#N/A,FALSE,"BAL SHT";#N/A,#N/A,FALSE,"INCOME STMT";#N/A,#N/A,FALSE,"UTILIZATION";#N/A,#N/A,FALSE,"RATE CODE"}</definedName>
    <definedName name="wrn.Financial._.Statements." hidden="1">{#N/A,#N/A,FALSE,"BAL SHT";#N/A,#N/A,FALSE,"INCOME STMT";#N/A,#N/A,FALSE,"UTILIZATION";#N/A,#N/A,FALSE,"RATE CODE"}</definedName>
    <definedName name="Z_27EF61E3_089C_4444_8AD8_DD4FF652E9B8_.wvu.PrintArea" localSheetId="11" hidden="1">'APM 4.06'!$A$1:$D$50</definedName>
    <definedName name="Z_27EF61E3_089C_4444_8AD8_DD4FF652E9B8_.wvu.PrintArea" localSheetId="4" hidden="1">'FS-Footnotes 3.06'!$A$1:$J$370</definedName>
    <definedName name="Z_27EF61E3_089C_4444_8AD8_DD4FF652E9B8_.wvu.PrintArea" localSheetId="8" hidden="1">'Receivables_Payable 4.02 &amp; 4.03'!$A$1:$B$7</definedName>
    <definedName name="Z_27EF61E3_089C_4444_8AD8_DD4FF652E9B8_.wvu.PrintTitles" localSheetId="4" hidden="1">'FS-Footnotes 3.06'!$2:$3</definedName>
    <definedName name="Z_37A3FFB3_F9B3_457E_8CCE_DDC5690B1CC7_.wvu.PrintArea" localSheetId="11" hidden="1">'APM 4.06'!$A$1:$D$50</definedName>
    <definedName name="Z_37A3FFB3_F9B3_457E_8CCE_DDC5690B1CC7_.wvu.PrintArea" localSheetId="4" hidden="1">'FS-Footnotes 3.06'!$A$1:$J$370</definedName>
    <definedName name="Z_37A3FFB3_F9B3_457E_8CCE_DDC5690B1CC7_.wvu.PrintArea" localSheetId="8" hidden="1">'Receivables_Payable 4.02 &amp; 4.03'!$A$1:$B$7</definedName>
    <definedName name="Z_37A3FFB3_F9B3_457E_8CCE_DDC5690B1CC7_.wvu.PrintTitles" localSheetId="4" hidden="1">'FS-Footnotes 3.06'!$2:$3</definedName>
    <definedName name="Z_655785FE_4642_4974_A75C_A508411C3F0D_.wvu.PrintArea" localSheetId="30" hidden="1">'MLR H-1  '!$A$2:$Q$116</definedName>
    <definedName name="Z_655785FE_4642_4974_A75C_A508411C3F0D_.wvu.PrintTitles" localSheetId="30" hidden="1">'MLR H-1  '!$2:$5</definedName>
    <definedName name="Z_9CE0C3E7_850B_4DCB_B236_1FE82D824183_.wvu.PrintArea" localSheetId="4" hidden="1">'FS-Footnotes 3.06'!$A$1:$J$370</definedName>
    <definedName name="Z_9CE0C3E7_850B_4DCB_B236_1FE82D824183_.wvu.PrintTitles" localSheetId="4" hidden="1">'FS-Footnotes 3.06'!$2:$3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8" i="41" l="1"/>
  <c r="G88" i="41"/>
  <c r="G89" i="41"/>
  <c r="J89" i="41" s="1"/>
  <c r="P16" i="4"/>
  <c r="E73" i="18"/>
  <c r="E37" i="18"/>
  <c r="J15" i="39"/>
  <c r="J20" i="22" l="1"/>
  <c r="M42" i="44"/>
  <c r="N42" i="44" s="1"/>
  <c r="N28" i="44"/>
  <c r="M28" i="44"/>
  <c r="M15" i="44"/>
  <c r="N15" i="44" s="1"/>
  <c r="B42" i="44"/>
  <c r="H16" i="4" l="1"/>
  <c r="J19" i="39"/>
  <c r="D11" i="44"/>
  <c r="K15" i="8"/>
  <c r="H15" i="8"/>
  <c r="I15" i="8" s="1"/>
  <c r="H132" i="8"/>
  <c r="H131" i="8"/>
  <c r="H130" i="8"/>
  <c r="H129" i="8"/>
  <c r="H125" i="8"/>
  <c r="H120" i="8"/>
  <c r="H115" i="8"/>
  <c r="I115" i="8" s="1"/>
  <c r="H112" i="8"/>
  <c r="H7" i="8"/>
  <c r="H14" i="39" l="1"/>
  <c r="J14" i="39" s="1"/>
  <c r="I14" i="39"/>
  <c r="C32" i="24"/>
  <c r="D32" i="24" a="1"/>
  <c r="D32" i="24" s="1"/>
  <c r="C44" i="24"/>
  <c r="D44" i="24" a="1"/>
  <c r="D44" i="24" s="1"/>
  <c r="E50" i="24"/>
  <c r="E38" i="24"/>
  <c r="E26" i="24"/>
  <c r="E17" i="24"/>
  <c r="E11" i="24"/>
  <c r="K17" i="22"/>
  <c r="D36" i="20"/>
  <c r="D30" i="20"/>
  <c r="D44" i="19"/>
  <c r="D38" i="19"/>
  <c r="D30" i="19"/>
  <c r="C73" i="27"/>
  <c r="C50" i="27"/>
  <c r="C39" i="27"/>
  <c r="C16" i="27"/>
  <c r="E50" i="21"/>
  <c r="D49" i="21"/>
  <c r="D40" i="21"/>
  <c r="D17" i="21"/>
  <c r="E18" i="23"/>
  <c r="E13" i="23"/>
  <c r="E49" i="21" a="1"/>
  <c r="E49" i="21"/>
  <c r="F40" i="21"/>
  <c r="F17" i="21"/>
  <c r="F36" i="20"/>
  <c r="F30" i="20"/>
  <c r="E44" i="19" a="1"/>
  <c r="E44" i="19" s="1"/>
  <c r="F38" i="19"/>
  <c r="F30" i="19"/>
  <c r="E73" i="27"/>
  <c r="E50" i="27"/>
  <c r="E39" i="27"/>
  <c r="D16" i="27" a="1"/>
  <c r="D16" i="27" s="1"/>
  <c r="E30" i="19" a="1"/>
  <c r="E30" i="19" s="1"/>
  <c r="C273" i="35"/>
  <c r="U133" i="13"/>
  <c r="T133" i="13"/>
  <c r="S133" i="13"/>
  <c r="U132" i="13"/>
  <c r="T132" i="13"/>
  <c r="S132" i="13"/>
  <c r="V132" i="13" s="1"/>
  <c r="U131" i="13"/>
  <c r="T131" i="13"/>
  <c r="S131" i="13"/>
  <c r="V131" i="13" s="1"/>
  <c r="U130" i="13"/>
  <c r="T130" i="13"/>
  <c r="S130" i="13"/>
  <c r="V130" i="13" s="1"/>
  <c r="U127" i="13"/>
  <c r="T127" i="13"/>
  <c r="S127" i="13"/>
  <c r="U122" i="13"/>
  <c r="T122" i="13"/>
  <c r="S122" i="13"/>
  <c r="V122" i="13" s="1"/>
  <c r="U117" i="13"/>
  <c r="T117" i="13"/>
  <c r="S117" i="13"/>
  <c r="U114" i="13"/>
  <c r="T114" i="13"/>
  <c r="S114" i="13"/>
  <c r="V114" i="13" s="1"/>
  <c r="U113" i="13"/>
  <c r="T113" i="13"/>
  <c r="S113" i="13"/>
  <c r="U112" i="13"/>
  <c r="T112" i="13"/>
  <c r="S112" i="13"/>
  <c r="V112" i="13" s="1"/>
  <c r="U111" i="13"/>
  <c r="T111" i="13"/>
  <c r="S111" i="13"/>
  <c r="V111" i="13" s="1"/>
  <c r="U110" i="13"/>
  <c r="T110" i="13"/>
  <c r="S110" i="13"/>
  <c r="V110" i="13" s="1"/>
  <c r="U109" i="13"/>
  <c r="T109" i="13"/>
  <c r="S109" i="13"/>
  <c r="U108" i="13"/>
  <c r="T108" i="13"/>
  <c r="S108" i="13"/>
  <c r="U107" i="13"/>
  <c r="T107" i="13"/>
  <c r="S107" i="13"/>
  <c r="V107" i="13" s="1"/>
  <c r="U106" i="13"/>
  <c r="T106" i="13"/>
  <c r="S106" i="13"/>
  <c r="V106" i="13" s="1"/>
  <c r="U105" i="13"/>
  <c r="T105" i="13"/>
  <c r="S105" i="13"/>
  <c r="U104" i="13"/>
  <c r="T104" i="13"/>
  <c r="S104" i="13"/>
  <c r="V104" i="13" s="1"/>
  <c r="U103" i="13"/>
  <c r="T103" i="13"/>
  <c r="S103" i="13"/>
  <c r="V103" i="13" s="1"/>
  <c r="U102" i="13"/>
  <c r="T102" i="13"/>
  <c r="S102" i="13"/>
  <c r="V102" i="13" s="1"/>
  <c r="U101" i="13"/>
  <c r="T101" i="13"/>
  <c r="S101" i="13"/>
  <c r="U100" i="13"/>
  <c r="T100" i="13"/>
  <c r="S100" i="13"/>
  <c r="V100" i="13" s="1"/>
  <c r="U99" i="13"/>
  <c r="T99" i="13"/>
  <c r="S99" i="13"/>
  <c r="V99" i="13" s="1"/>
  <c r="U98" i="13"/>
  <c r="T98" i="13"/>
  <c r="S98" i="13"/>
  <c r="V98" i="13" s="1"/>
  <c r="U97" i="13"/>
  <c r="T97" i="13"/>
  <c r="S97" i="13"/>
  <c r="U96" i="13"/>
  <c r="T96" i="13"/>
  <c r="S96" i="13"/>
  <c r="U95" i="13"/>
  <c r="T95" i="13"/>
  <c r="S95" i="13"/>
  <c r="V95" i="13" s="1"/>
  <c r="U92" i="13"/>
  <c r="T92" i="13"/>
  <c r="S92" i="13"/>
  <c r="V92" i="13" s="1"/>
  <c r="U91" i="13"/>
  <c r="T91" i="13"/>
  <c r="S91" i="13"/>
  <c r="U90" i="13"/>
  <c r="T90" i="13"/>
  <c r="S90" i="13"/>
  <c r="V90" i="13" s="1"/>
  <c r="U89" i="13"/>
  <c r="T89" i="13"/>
  <c r="S89" i="13"/>
  <c r="V89" i="13" s="1"/>
  <c r="U88" i="13"/>
  <c r="T88" i="13"/>
  <c r="S88" i="13"/>
  <c r="V88" i="13" s="1"/>
  <c r="U85" i="13"/>
  <c r="T85" i="13"/>
  <c r="S85" i="13"/>
  <c r="U83" i="13"/>
  <c r="T83" i="13"/>
  <c r="S83" i="13"/>
  <c r="U81" i="13"/>
  <c r="T81" i="13"/>
  <c r="S81" i="13"/>
  <c r="V81" i="13" s="1"/>
  <c r="U80" i="13"/>
  <c r="T80" i="13"/>
  <c r="S80" i="13"/>
  <c r="U79" i="13"/>
  <c r="T79" i="13"/>
  <c r="S79" i="13"/>
  <c r="U78" i="13"/>
  <c r="T78" i="13"/>
  <c r="S78" i="13"/>
  <c r="V78" i="13" s="1"/>
  <c r="U77" i="13"/>
  <c r="T77" i="13"/>
  <c r="S77" i="13"/>
  <c r="U76" i="13"/>
  <c r="T76" i="13"/>
  <c r="S76" i="13"/>
  <c r="V76" i="13" s="1"/>
  <c r="U75" i="13"/>
  <c r="T75" i="13"/>
  <c r="S75" i="13"/>
  <c r="U74" i="13"/>
  <c r="T74" i="13"/>
  <c r="S74" i="13"/>
  <c r="U73" i="13"/>
  <c r="T73" i="13"/>
  <c r="S73" i="13"/>
  <c r="V73" i="13" s="1"/>
  <c r="U72" i="13"/>
  <c r="T72" i="13"/>
  <c r="S72" i="13"/>
  <c r="U71" i="13"/>
  <c r="T71" i="13"/>
  <c r="S71" i="13"/>
  <c r="V71" i="13" s="1"/>
  <c r="U70" i="13"/>
  <c r="T70" i="13"/>
  <c r="S70" i="13"/>
  <c r="V70" i="13" s="1"/>
  <c r="U69" i="13"/>
  <c r="T69" i="13"/>
  <c r="S69" i="13"/>
  <c r="V69" i="13" s="1"/>
  <c r="U68" i="13"/>
  <c r="T68" i="13"/>
  <c r="S68" i="13"/>
  <c r="U67" i="13"/>
  <c r="T67" i="13"/>
  <c r="S67" i="13"/>
  <c r="V67" i="13" s="1"/>
  <c r="U66" i="13"/>
  <c r="T66" i="13"/>
  <c r="S66" i="13"/>
  <c r="V66" i="13" s="1"/>
  <c r="U65" i="13"/>
  <c r="T65" i="13"/>
  <c r="S65" i="13"/>
  <c r="V65" i="13" s="1"/>
  <c r="U64" i="13"/>
  <c r="T64" i="13"/>
  <c r="S64" i="13"/>
  <c r="V64" i="13" s="1"/>
  <c r="U61" i="13"/>
  <c r="T61" i="13"/>
  <c r="S61" i="13"/>
  <c r="U60" i="13"/>
  <c r="T60" i="13"/>
  <c r="S60" i="13"/>
  <c r="V60" i="13" s="1"/>
  <c r="U59" i="13"/>
  <c r="T59" i="13"/>
  <c r="S59" i="13"/>
  <c r="V59" i="13" s="1"/>
  <c r="U58" i="13"/>
  <c r="T58" i="13"/>
  <c r="S58" i="13"/>
  <c r="V58" i="13" s="1"/>
  <c r="U57" i="13"/>
  <c r="T57" i="13"/>
  <c r="S57" i="13"/>
  <c r="U56" i="13"/>
  <c r="T56" i="13"/>
  <c r="S56" i="13"/>
  <c r="V56" i="13" s="1"/>
  <c r="U55" i="13"/>
  <c r="T55" i="13"/>
  <c r="S55" i="13"/>
  <c r="V55" i="13" s="1"/>
  <c r="U54" i="13"/>
  <c r="T54" i="13"/>
  <c r="S54" i="13"/>
  <c r="V54" i="13" s="1"/>
  <c r="U53" i="13"/>
  <c r="T53" i="13"/>
  <c r="S53" i="13"/>
  <c r="U52" i="13"/>
  <c r="T52" i="13"/>
  <c r="S52" i="13"/>
  <c r="V52" i="13" s="1"/>
  <c r="U51" i="13"/>
  <c r="T51" i="13"/>
  <c r="S51" i="13"/>
  <c r="V51" i="13" s="1"/>
  <c r="U50" i="13"/>
  <c r="T50" i="13"/>
  <c r="S50" i="13"/>
  <c r="V50" i="13" s="1"/>
  <c r="U49" i="13"/>
  <c r="T49" i="13"/>
  <c r="S49" i="13"/>
  <c r="U48" i="13"/>
  <c r="T48" i="13"/>
  <c r="S48" i="13"/>
  <c r="U47" i="13"/>
  <c r="T47" i="13"/>
  <c r="S47" i="13"/>
  <c r="U44" i="13"/>
  <c r="T44" i="13"/>
  <c r="S44" i="13"/>
  <c r="U43" i="13"/>
  <c r="T43" i="13"/>
  <c r="S43" i="13"/>
  <c r="U42" i="13"/>
  <c r="T42" i="13"/>
  <c r="S42" i="13"/>
  <c r="V42" i="13" s="1"/>
  <c r="U41" i="13"/>
  <c r="T41" i="13"/>
  <c r="S41" i="13"/>
  <c r="V41" i="13" s="1"/>
  <c r="U40" i="13"/>
  <c r="T40" i="13"/>
  <c r="S40" i="13"/>
  <c r="V40" i="13" s="1"/>
  <c r="U39" i="13"/>
  <c r="T39" i="13"/>
  <c r="S39" i="13"/>
  <c r="U38" i="13"/>
  <c r="T38" i="13"/>
  <c r="S38" i="13"/>
  <c r="V38" i="13" s="1"/>
  <c r="U37" i="13"/>
  <c r="T37" i="13"/>
  <c r="S37" i="13"/>
  <c r="V37" i="13" s="1"/>
  <c r="U36" i="13"/>
  <c r="T36" i="13"/>
  <c r="S36" i="13"/>
  <c r="V36" i="13" s="1"/>
  <c r="U35" i="13"/>
  <c r="T35" i="13"/>
  <c r="S35" i="13"/>
  <c r="V35" i="13" s="1"/>
  <c r="U34" i="13"/>
  <c r="T34" i="13"/>
  <c r="S34" i="13"/>
  <c r="V34" i="13" s="1"/>
  <c r="U33" i="13"/>
  <c r="T33" i="13"/>
  <c r="S33" i="13"/>
  <c r="V33" i="13" s="1"/>
  <c r="U32" i="13"/>
  <c r="T32" i="13"/>
  <c r="S32" i="13"/>
  <c r="V32" i="13" s="1"/>
  <c r="U31" i="13"/>
  <c r="T31" i="13"/>
  <c r="S31" i="13"/>
  <c r="U30" i="13"/>
  <c r="T30" i="13"/>
  <c r="S30" i="13"/>
  <c r="U27" i="13"/>
  <c r="T27" i="13"/>
  <c r="S27" i="13"/>
  <c r="V27" i="13" s="1"/>
  <c r="U26" i="13"/>
  <c r="T26" i="13"/>
  <c r="S26" i="13"/>
  <c r="V26" i="13" s="1"/>
  <c r="U25" i="13"/>
  <c r="T25" i="13"/>
  <c r="S25" i="13"/>
  <c r="V25" i="13" s="1"/>
  <c r="U24" i="13"/>
  <c r="T24" i="13"/>
  <c r="S24" i="13"/>
  <c r="V24" i="13" s="1"/>
  <c r="U23" i="13"/>
  <c r="T23" i="13"/>
  <c r="S23" i="13"/>
  <c r="U22" i="13"/>
  <c r="T22" i="13"/>
  <c r="T28" i="13" s="1"/>
  <c r="S22" i="13"/>
  <c r="S28" i="13" s="1"/>
  <c r="U19" i="13"/>
  <c r="T19" i="13"/>
  <c r="S19" i="13"/>
  <c r="U18" i="13"/>
  <c r="T18" i="13"/>
  <c r="S18" i="13"/>
  <c r="U17" i="13"/>
  <c r="U121" i="13" s="1"/>
  <c r="U123" i="13" s="1"/>
  <c r="T17" i="13"/>
  <c r="T121" i="13" s="1"/>
  <c r="T123" i="13" s="1"/>
  <c r="S17" i="13"/>
  <c r="V17" i="13" s="1"/>
  <c r="V121" i="13" s="1"/>
  <c r="U15" i="13"/>
  <c r="T15" i="13"/>
  <c r="S15" i="13"/>
  <c r="U14" i="13"/>
  <c r="V14" i="13" s="1"/>
  <c r="T14" i="13"/>
  <c r="S14" i="13"/>
  <c r="U13" i="13"/>
  <c r="T13" i="13"/>
  <c r="S13" i="13"/>
  <c r="V13" i="13" s="1"/>
  <c r="U12" i="13"/>
  <c r="T12" i="13"/>
  <c r="S12" i="13"/>
  <c r="U11" i="13"/>
  <c r="T11" i="13"/>
  <c r="S11" i="13"/>
  <c r="V11" i="13" s="1"/>
  <c r="U10" i="13"/>
  <c r="T10" i="13"/>
  <c r="S10" i="13"/>
  <c r="T9" i="13"/>
  <c r="U9" i="13"/>
  <c r="S9" i="13"/>
  <c r="V9" i="13" s="1"/>
  <c r="E7" i="13"/>
  <c r="I7" i="13" s="1"/>
  <c r="M7" i="13" s="1"/>
  <c r="Q7" i="13" s="1"/>
  <c r="U7" i="13" s="1"/>
  <c r="D7" i="13"/>
  <c r="H7" i="13" s="1"/>
  <c r="L7" i="13" s="1"/>
  <c r="P7" i="13" s="1"/>
  <c r="T7" i="13" s="1"/>
  <c r="C7" i="13"/>
  <c r="G7" i="13" s="1"/>
  <c r="K7" i="13" s="1"/>
  <c r="O7" i="13" s="1"/>
  <c r="S7" i="13" s="1"/>
  <c r="E4" i="13"/>
  <c r="T4" i="13"/>
  <c r="I4" i="13"/>
  <c r="M4" i="13" s="1"/>
  <c r="Q4" i="13" s="1"/>
  <c r="B4" i="13"/>
  <c r="V133" i="13"/>
  <c r="V127" i="13"/>
  <c r="V113" i="13"/>
  <c r="V109" i="13"/>
  <c r="V108" i="13"/>
  <c r="V105" i="13"/>
  <c r="V101" i="13"/>
  <c r="V97" i="13"/>
  <c r="V96" i="13"/>
  <c r="V83" i="13"/>
  <c r="V77" i="13"/>
  <c r="V75" i="13"/>
  <c r="V74" i="13"/>
  <c r="V61" i="13"/>
  <c r="V57" i="13"/>
  <c r="V53" i="13"/>
  <c r="V49" i="13"/>
  <c r="V48" i="13"/>
  <c r="V47" i="13"/>
  <c r="V44" i="13"/>
  <c r="V43" i="13"/>
  <c r="V39" i="13"/>
  <c r="V31" i="13"/>
  <c r="V23" i="13"/>
  <c r="V19" i="13"/>
  <c r="V18" i="13"/>
  <c r="V15" i="13"/>
  <c r="R133" i="13"/>
  <c r="R132" i="13"/>
  <c r="R131" i="13"/>
  <c r="R130" i="13"/>
  <c r="R127" i="13"/>
  <c r="R122" i="13"/>
  <c r="Q121" i="13"/>
  <c r="Q123" i="13" s="1"/>
  <c r="P121" i="13"/>
  <c r="P123" i="13" s="1"/>
  <c r="O121" i="13"/>
  <c r="O123" i="13" s="1"/>
  <c r="R117" i="13"/>
  <c r="Q115" i="13"/>
  <c r="P115" i="13"/>
  <c r="O115" i="13"/>
  <c r="R114" i="13"/>
  <c r="R113" i="13"/>
  <c r="R112" i="13"/>
  <c r="R111" i="13"/>
  <c r="R110" i="13"/>
  <c r="R109" i="13"/>
  <c r="R108" i="13"/>
  <c r="R107" i="13"/>
  <c r="R106" i="13"/>
  <c r="R105" i="13"/>
  <c r="R104" i="13"/>
  <c r="R103" i="13"/>
  <c r="R102" i="13"/>
  <c r="R101" i="13"/>
  <c r="R100" i="13"/>
  <c r="R99" i="13"/>
  <c r="R98" i="13"/>
  <c r="R97" i="13"/>
  <c r="R96" i="13"/>
  <c r="R95" i="13"/>
  <c r="R115" i="13" s="1"/>
  <c r="R92" i="13"/>
  <c r="R91" i="13"/>
  <c r="R90" i="13"/>
  <c r="R89" i="13"/>
  <c r="R88" i="13"/>
  <c r="R85" i="13"/>
  <c r="R83" i="13"/>
  <c r="Q82" i="13"/>
  <c r="Q84" i="13" s="1"/>
  <c r="P82" i="13"/>
  <c r="P84" i="13" s="1"/>
  <c r="P86" i="13" s="1"/>
  <c r="P93" i="13" s="1"/>
  <c r="P118" i="13" s="1"/>
  <c r="O82" i="13"/>
  <c r="O84" i="13" s="1"/>
  <c r="O86" i="13" s="1"/>
  <c r="O93" i="13" s="1"/>
  <c r="O118" i="13" s="1"/>
  <c r="R81" i="13"/>
  <c r="R80" i="13"/>
  <c r="R79" i="13"/>
  <c r="R78" i="13"/>
  <c r="R77" i="13"/>
  <c r="R76" i="13"/>
  <c r="R75" i="13"/>
  <c r="R74" i="13"/>
  <c r="R73" i="13"/>
  <c r="R72" i="13"/>
  <c r="R71" i="13"/>
  <c r="R70" i="13"/>
  <c r="R69" i="13"/>
  <c r="R68" i="13"/>
  <c r="R67" i="13"/>
  <c r="R66" i="13"/>
  <c r="R65" i="13"/>
  <c r="R64" i="13"/>
  <c r="Q62" i="13"/>
  <c r="P62" i="13"/>
  <c r="O62" i="13"/>
  <c r="R61" i="13"/>
  <c r="R60" i="13"/>
  <c r="R59" i="13"/>
  <c r="R58" i="13"/>
  <c r="R57" i="13"/>
  <c r="R56" i="13"/>
  <c r="R55" i="13"/>
  <c r="R54" i="13"/>
  <c r="R53" i="13"/>
  <c r="R52" i="13"/>
  <c r="R51" i="13"/>
  <c r="R50" i="13"/>
  <c r="R49" i="13"/>
  <c r="R48" i="13"/>
  <c r="R47" i="13"/>
  <c r="Q45" i="13"/>
  <c r="P45" i="13"/>
  <c r="O45" i="13"/>
  <c r="R44" i="13"/>
  <c r="R43" i="13"/>
  <c r="R42" i="13"/>
  <c r="R41" i="13"/>
  <c r="R40" i="13"/>
  <c r="R39" i="13"/>
  <c r="R38" i="13"/>
  <c r="R37" i="13"/>
  <c r="R36" i="13"/>
  <c r="R35" i="13"/>
  <c r="R34" i="13"/>
  <c r="R33" i="13"/>
  <c r="R32" i="13"/>
  <c r="R31" i="13"/>
  <c r="R30" i="13"/>
  <c r="Q28" i="13"/>
  <c r="P28" i="13"/>
  <c r="O28" i="13"/>
  <c r="R27" i="13"/>
  <c r="R26" i="13"/>
  <c r="R25" i="13"/>
  <c r="R24" i="13"/>
  <c r="R23" i="13"/>
  <c r="R22" i="13"/>
  <c r="R19" i="13"/>
  <c r="R18" i="13"/>
  <c r="R17" i="13"/>
  <c r="R121" i="13" s="1"/>
  <c r="R16" i="13"/>
  <c r="R20" i="13" s="1"/>
  <c r="Q16" i="13"/>
  <c r="Q20" i="13" s="1"/>
  <c r="P16" i="13"/>
  <c r="P20" i="13" s="1"/>
  <c r="O16" i="13"/>
  <c r="O20" i="13" s="1"/>
  <c r="R15" i="13"/>
  <c r="R14" i="13"/>
  <c r="R13" i="13"/>
  <c r="R12" i="13"/>
  <c r="R11" i="13"/>
  <c r="R10" i="13"/>
  <c r="R9" i="13"/>
  <c r="N133" i="13"/>
  <c r="N132" i="13"/>
  <c r="N131" i="13"/>
  <c r="N130" i="13"/>
  <c r="N127" i="13"/>
  <c r="N122" i="13"/>
  <c r="M121" i="13"/>
  <c r="M123" i="13" s="1"/>
  <c r="L121" i="13"/>
  <c r="L123" i="13" s="1"/>
  <c r="K121" i="13"/>
  <c r="K123" i="13" s="1"/>
  <c r="N117" i="13"/>
  <c r="M115" i="13"/>
  <c r="L115" i="13"/>
  <c r="K115" i="13"/>
  <c r="N114" i="13"/>
  <c r="N113" i="13"/>
  <c r="N112" i="13"/>
  <c r="N111" i="13"/>
  <c r="N110" i="13"/>
  <c r="N109" i="13"/>
  <c r="N108" i="13"/>
  <c r="N107" i="13"/>
  <c r="N106" i="13"/>
  <c r="N105" i="13"/>
  <c r="N104" i="13"/>
  <c r="N103" i="13"/>
  <c r="N102" i="13"/>
  <c r="N115" i="13" s="1"/>
  <c r="N101" i="13"/>
  <c r="N100" i="13"/>
  <c r="N99" i="13"/>
  <c r="N98" i="13"/>
  <c r="N97" i="13"/>
  <c r="N96" i="13"/>
  <c r="N95" i="13"/>
  <c r="N92" i="13"/>
  <c r="N91" i="13"/>
  <c r="N90" i="13"/>
  <c r="N89" i="13"/>
  <c r="N88" i="13"/>
  <c r="N85" i="13"/>
  <c r="N83" i="13"/>
  <c r="M82" i="13"/>
  <c r="M84" i="13" s="1"/>
  <c r="L82" i="13"/>
  <c r="L84" i="13" s="1"/>
  <c r="K82" i="13"/>
  <c r="K84" i="13" s="1"/>
  <c r="N81" i="13"/>
  <c r="N80" i="13"/>
  <c r="N79" i="13"/>
  <c r="N78" i="13"/>
  <c r="N77" i="13"/>
  <c r="N76" i="13"/>
  <c r="N75" i="13"/>
  <c r="N74" i="13"/>
  <c r="N73" i="13"/>
  <c r="N72" i="13"/>
  <c r="N71" i="13"/>
  <c r="N70" i="13"/>
  <c r="N69" i="13"/>
  <c r="N68" i="13"/>
  <c r="N67" i="13"/>
  <c r="N66" i="13"/>
  <c r="N65" i="13"/>
  <c r="N64" i="13"/>
  <c r="M62" i="13"/>
  <c r="L62" i="13"/>
  <c r="K62" i="13"/>
  <c r="N61" i="13"/>
  <c r="N60" i="13"/>
  <c r="N59" i="13"/>
  <c r="N58" i="13"/>
  <c r="N57" i="13"/>
  <c r="N56" i="13"/>
  <c r="N55" i="13"/>
  <c r="N54" i="13"/>
  <c r="N53" i="13"/>
  <c r="N52" i="13"/>
  <c r="N51" i="13"/>
  <c r="N50" i="13"/>
  <c r="N49" i="13"/>
  <c r="N48" i="13"/>
  <c r="N47" i="13"/>
  <c r="M45" i="13"/>
  <c r="L45" i="13"/>
  <c r="K45" i="13"/>
  <c r="N44" i="13"/>
  <c r="N43" i="13"/>
  <c r="N42" i="13"/>
  <c r="N41" i="13"/>
  <c r="N40" i="13"/>
  <c r="N39" i="13"/>
  <c r="N38" i="13"/>
  <c r="N37" i="13"/>
  <c r="N36" i="13"/>
  <c r="N35" i="13"/>
  <c r="N34" i="13"/>
  <c r="N33" i="13"/>
  <c r="N32" i="13"/>
  <c r="N31" i="13"/>
  <c r="N30" i="13"/>
  <c r="M28" i="13"/>
  <c r="L28" i="13"/>
  <c r="K28" i="13"/>
  <c r="N27" i="13"/>
  <c r="N26" i="13"/>
  <c r="N25" i="13"/>
  <c r="N24" i="13"/>
  <c r="N23" i="13"/>
  <c r="N22" i="13"/>
  <c r="M20" i="13"/>
  <c r="L20" i="13"/>
  <c r="K20" i="13"/>
  <c r="N19" i="13"/>
  <c r="N18" i="13"/>
  <c r="N17" i="13"/>
  <c r="N121" i="13" s="1"/>
  <c r="N123" i="13" s="1"/>
  <c r="M16" i="13"/>
  <c r="L16" i="13"/>
  <c r="K16" i="13"/>
  <c r="N15" i="13"/>
  <c r="N14" i="13"/>
  <c r="N13" i="13"/>
  <c r="N12" i="13"/>
  <c r="N11" i="13"/>
  <c r="N10" i="13"/>
  <c r="N9" i="13"/>
  <c r="N16" i="13" s="1"/>
  <c r="N20" i="13" s="1"/>
  <c r="J133" i="13"/>
  <c r="J132" i="13"/>
  <c r="J131" i="13"/>
  <c r="J130" i="13"/>
  <c r="J127" i="13"/>
  <c r="J122" i="13"/>
  <c r="I121" i="13"/>
  <c r="I123" i="13" s="1"/>
  <c r="H121" i="13"/>
  <c r="H123" i="13" s="1"/>
  <c r="G121" i="13"/>
  <c r="G123" i="13" s="1"/>
  <c r="J117" i="13"/>
  <c r="I115" i="13"/>
  <c r="H115" i="13"/>
  <c r="G115" i="13"/>
  <c r="J114" i="13"/>
  <c r="J113" i="13"/>
  <c r="J112" i="13"/>
  <c r="J111" i="13"/>
  <c r="J110" i="13"/>
  <c r="J109" i="13"/>
  <c r="J108" i="13"/>
  <c r="J107" i="13"/>
  <c r="J106" i="13"/>
  <c r="J105" i="13"/>
  <c r="J104" i="13"/>
  <c r="J103" i="13"/>
  <c r="J102" i="13"/>
  <c r="J101" i="13"/>
  <c r="J100" i="13"/>
  <c r="J99" i="13"/>
  <c r="J98" i="13"/>
  <c r="J97" i="13"/>
  <c r="J96" i="13"/>
  <c r="J95" i="13"/>
  <c r="J92" i="13"/>
  <c r="J91" i="13"/>
  <c r="J90" i="13"/>
  <c r="J89" i="13"/>
  <c r="J88" i="13"/>
  <c r="J85" i="13"/>
  <c r="J83" i="13"/>
  <c r="I82" i="13"/>
  <c r="I84" i="13" s="1"/>
  <c r="H82" i="13"/>
  <c r="H84" i="13" s="1"/>
  <c r="G82" i="13"/>
  <c r="J82" i="13" s="1"/>
  <c r="J81" i="13"/>
  <c r="J80" i="13"/>
  <c r="J79" i="13"/>
  <c r="J78" i="13"/>
  <c r="J77" i="13"/>
  <c r="J76" i="13"/>
  <c r="J75" i="13"/>
  <c r="J74" i="13"/>
  <c r="J73" i="13"/>
  <c r="J72" i="13"/>
  <c r="J71" i="13"/>
  <c r="J70" i="13"/>
  <c r="J69" i="13"/>
  <c r="J68" i="13"/>
  <c r="J67" i="13"/>
  <c r="J66" i="13"/>
  <c r="J65" i="13"/>
  <c r="J64" i="13"/>
  <c r="I62" i="13"/>
  <c r="H62" i="13"/>
  <c r="G62" i="13"/>
  <c r="J61" i="13"/>
  <c r="J60" i="13"/>
  <c r="J59" i="13"/>
  <c r="J58" i="13"/>
  <c r="J57" i="13"/>
  <c r="J56" i="13"/>
  <c r="J55" i="13"/>
  <c r="J54" i="13"/>
  <c r="J53" i="13"/>
  <c r="J52" i="13"/>
  <c r="J51" i="13"/>
  <c r="J50" i="13"/>
  <c r="J49" i="13"/>
  <c r="J48" i="13"/>
  <c r="J47" i="13"/>
  <c r="I45" i="13"/>
  <c r="H45" i="13"/>
  <c r="H86" i="13" s="1"/>
  <c r="H93" i="13" s="1"/>
  <c r="H118" i="13" s="1"/>
  <c r="G45" i="13"/>
  <c r="J44" i="13"/>
  <c r="J43" i="13"/>
  <c r="J42" i="13"/>
  <c r="J41" i="13"/>
  <c r="J40" i="13"/>
  <c r="J39" i="13"/>
  <c r="J38" i="13"/>
  <c r="J37" i="13"/>
  <c r="J36" i="13"/>
  <c r="J35" i="13"/>
  <c r="J34" i="13"/>
  <c r="J33" i="13"/>
  <c r="J45" i="13" s="1"/>
  <c r="J32" i="13"/>
  <c r="J31" i="13"/>
  <c r="J30" i="13"/>
  <c r="I28" i="13"/>
  <c r="H28" i="13"/>
  <c r="G28" i="13"/>
  <c r="J27" i="13"/>
  <c r="J26" i="13"/>
  <c r="J25" i="13"/>
  <c r="J24" i="13"/>
  <c r="J23" i="13"/>
  <c r="J22" i="13"/>
  <c r="J19" i="13"/>
  <c r="J18" i="13"/>
  <c r="J17" i="13"/>
  <c r="J121" i="13" s="1"/>
  <c r="I16" i="13"/>
  <c r="I20" i="13" s="1"/>
  <c r="H16" i="13"/>
  <c r="H20" i="13" s="1"/>
  <c r="G16" i="13"/>
  <c r="G20" i="13" s="1"/>
  <c r="J15" i="13"/>
  <c r="J14" i="13"/>
  <c r="J13" i="13"/>
  <c r="J12" i="13"/>
  <c r="J16" i="13" s="1"/>
  <c r="J20" i="13" s="1"/>
  <c r="J11" i="13"/>
  <c r="J10" i="13"/>
  <c r="J9" i="13"/>
  <c r="E32" i="24" l="1"/>
  <c r="E44" i="24"/>
  <c r="F49" i="21"/>
  <c r="F44" i="19"/>
  <c r="E16" i="27"/>
  <c r="J115" i="13"/>
  <c r="R45" i="13"/>
  <c r="R62" i="13"/>
  <c r="V80" i="13"/>
  <c r="U28" i="13"/>
  <c r="S16" i="13"/>
  <c r="S20" i="13" s="1"/>
  <c r="J62" i="13"/>
  <c r="J84" i="13"/>
  <c r="R123" i="13"/>
  <c r="T115" i="13"/>
  <c r="U62" i="13"/>
  <c r="U115" i="13"/>
  <c r="N62" i="13"/>
  <c r="K86" i="13"/>
  <c r="K93" i="13" s="1"/>
  <c r="K118" i="13" s="1"/>
  <c r="T45" i="13"/>
  <c r="N28" i="13"/>
  <c r="L86" i="13"/>
  <c r="L93" i="13" s="1"/>
  <c r="L118" i="13" s="1"/>
  <c r="L120" i="13" s="1"/>
  <c r="L125" i="13" s="1"/>
  <c r="L128" i="13" s="1"/>
  <c r="L135" i="13" s="1"/>
  <c r="M86" i="13"/>
  <c r="M93" i="13" s="1"/>
  <c r="M118" i="13" s="1"/>
  <c r="S82" i="13"/>
  <c r="S84" i="13" s="1"/>
  <c r="V72" i="13"/>
  <c r="J28" i="13"/>
  <c r="J86" i="13" s="1"/>
  <c r="J93" i="13" s="1"/>
  <c r="J118" i="13" s="1"/>
  <c r="J120" i="13" s="1"/>
  <c r="J125" i="13" s="1"/>
  <c r="J128" i="13" s="1"/>
  <c r="J135" i="13" s="1"/>
  <c r="Q86" i="13"/>
  <c r="Q93" i="13" s="1"/>
  <c r="Q118" i="13" s="1"/>
  <c r="Q120" i="13" s="1"/>
  <c r="Q125" i="13" s="1"/>
  <c r="Q128" i="13" s="1"/>
  <c r="Q135" i="13" s="1"/>
  <c r="V123" i="13"/>
  <c r="T62" i="13"/>
  <c r="T86" i="13" s="1"/>
  <c r="T93" i="13" s="1"/>
  <c r="T118" i="13" s="1"/>
  <c r="T16" i="13"/>
  <c r="T82" i="13"/>
  <c r="T84" i="13" s="1"/>
  <c r="V91" i="13"/>
  <c r="V68" i="13"/>
  <c r="R28" i="13"/>
  <c r="S62" i="13"/>
  <c r="S121" i="13"/>
  <c r="S123" i="13" s="1"/>
  <c r="V117" i="13"/>
  <c r="I86" i="13"/>
  <c r="I93" i="13" s="1"/>
  <c r="I118" i="13" s="1"/>
  <c r="I120" i="13" s="1"/>
  <c r="I125" i="13" s="1"/>
  <c r="I128" i="13" s="1"/>
  <c r="I135" i="13" s="1"/>
  <c r="S45" i="13"/>
  <c r="S86" i="13" s="1"/>
  <c r="S93" i="13" s="1"/>
  <c r="S118" i="13" s="1"/>
  <c r="S120" i="13" s="1"/>
  <c r="S125" i="13" s="1"/>
  <c r="S128" i="13" s="1"/>
  <c r="S135" i="13" s="1"/>
  <c r="N45" i="13"/>
  <c r="J123" i="13"/>
  <c r="U45" i="13"/>
  <c r="U16" i="13"/>
  <c r="U82" i="13"/>
  <c r="U84" i="13" s="1"/>
  <c r="V85" i="13"/>
  <c r="S115" i="13"/>
  <c r="V115" i="13"/>
  <c r="V79" i="13"/>
  <c r="V62" i="13"/>
  <c r="V30" i="13"/>
  <c r="V45" i="13" s="1"/>
  <c r="U86" i="13"/>
  <c r="U93" i="13" s="1"/>
  <c r="V22" i="13"/>
  <c r="V28" i="13" s="1"/>
  <c r="T20" i="13"/>
  <c r="U20" i="13"/>
  <c r="V10" i="13"/>
  <c r="V12" i="13"/>
  <c r="O120" i="13"/>
  <c r="O125" i="13" s="1"/>
  <c r="O128" i="13" s="1"/>
  <c r="O135" i="13" s="1"/>
  <c r="P120" i="13"/>
  <c r="P125" i="13" s="1"/>
  <c r="P128" i="13" s="1"/>
  <c r="P135" i="13" s="1"/>
  <c r="R82" i="13"/>
  <c r="R84" i="13" s="1"/>
  <c r="R86" i="13" s="1"/>
  <c r="R93" i="13" s="1"/>
  <c r="R118" i="13" s="1"/>
  <c r="R120" i="13" s="1"/>
  <c r="R125" i="13" s="1"/>
  <c r="R128" i="13" s="1"/>
  <c r="R135" i="13" s="1"/>
  <c r="M120" i="13"/>
  <c r="M125" i="13" s="1"/>
  <c r="M128" i="13" s="1"/>
  <c r="M135" i="13" s="1"/>
  <c r="K120" i="13"/>
  <c r="K125" i="13" s="1"/>
  <c r="K128" i="13" s="1"/>
  <c r="K135" i="13" s="1"/>
  <c r="N82" i="13"/>
  <c r="N84" i="13" s="1"/>
  <c r="H120" i="13"/>
  <c r="H125" i="13" s="1"/>
  <c r="H128" i="13" s="1"/>
  <c r="H135" i="13" s="1"/>
  <c r="G84" i="13"/>
  <c r="G86" i="13" s="1"/>
  <c r="G93" i="13" s="1"/>
  <c r="G118" i="13" s="1"/>
  <c r="G120" i="13" s="1"/>
  <c r="G125" i="13" s="1"/>
  <c r="G128" i="13" s="1"/>
  <c r="G135" i="13" s="1"/>
  <c r="D138" i="14"/>
  <c r="C138" i="14"/>
  <c r="D137" i="14"/>
  <c r="C137" i="14"/>
  <c r="D136" i="14"/>
  <c r="C136" i="14"/>
  <c r="D135" i="14"/>
  <c r="C135" i="14"/>
  <c r="E34" i="18"/>
  <c r="E36" i="18"/>
  <c r="E35" i="18"/>
  <c r="U118" i="13" l="1"/>
  <c r="U120" i="13" s="1"/>
  <c r="U125" i="13" s="1"/>
  <c r="U128" i="13" s="1"/>
  <c r="U135" i="13" s="1"/>
  <c r="V82" i="13"/>
  <c r="V84" i="13" s="1"/>
  <c r="V86" i="13" s="1"/>
  <c r="V93" i="13" s="1"/>
  <c r="V118" i="13" s="1"/>
  <c r="V120" i="13" s="1"/>
  <c r="V125" i="13" s="1"/>
  <c r="V128" i="13" s="1"/>
  <c r="V135" i="13" s="1"/>
  <c r="V16" i="13"/>
  <c r="V20" i="13" s="1"/>
  <c r="N86" i="13"/>
  <c r="N93" i="13" s="1"/>
  <c r="N118" i="13" s="1"/>
  <c r="N120" i="13" s="1"/>
  <c r="N125" i="13" s="1"/>
  <c r="N128" i="13" s="1"/>
  <c r="N135" i="13" s="1"/>
  <c r="T120" i="13"/>
  <c r="T125" i="13" s="1"/>
  <c r="T128" i="13" s="1"/>
  <c r="T135" i="13" s="1"/>
  <c r="S115" i="8"/>
  <c r="K115" i="8"/>
  <c r="F117" i="13"/>
  <c r="D131" i="14"/>
  <c r="C131" i="14"/>
  <c r="D126" i="14"/>
  <c r="C126" i="14"/>
  <c r="D121" i="14"/>
  <c r="C121" i="14"/>
  <c r="E121" i="14" s="1"/>
  <c r="E138" i="17"/>
  <c r="E137" i="17"/>
  <c r="E136" i="17"/>
  <c r="E135" i="17"/>
  <c r="E131" i="17"/>
  <c r="D127" i="17"/>
  <c r="E126" i="17"/>
  <c r="D125" i="17"/>
  <c r="C125" i="17"/>
  <c r="C127" i="17" s="1"/>
  <c r="E121" i="17"/>
  <c r="E138" i="16"/>
  <c r="E137" i="16"/>
  <c r="E136" i="16"/>
  <c r="E135" i="16"/>
  <c r="E131" i="16"/>
  <c r="E126" i="16"/>
  <c r="E125" i="16"/>
  <c r="E127" i="16" s="1"/>
  <c r="D125" i="16"/>
  <c r="D127" i="16" s="1"/>
  <c r="C125" i="16"/>
  <c r="C127" i="16" s="1"/>
  <c r="E121" i="16"/>
  <c r="E121" i="15"/>
  <c r="R131" i="43"/>
  <c r="N131" i="43"/>
  <c r="J131" i="43"/>
  <c r="F131" i="43"/>
  <c r="R120" i="43"/>
  <c r="N120" i="43"/>
  <c r="J120" i="43"/>
  <c r="F120" i="43"/>
  <c r="T119" i="43"/>
  <c r="S119" i="43"/>
  <c r="U119" i="43" s="1"/>
  <c r="Q119" i="43"/>
  <c r="M119" i="43"/>
  <c r="I119" i="43"/>
  <c r="E119" i="43"/>
  <c r="C18" i="43"/>
  <c r="B5" i="4"/>
  <c r="B27" i="44"/>
  <c r="G124" i="35"/>
  <c r="G125" i="35"/>
  <c r="D82" i="13"/>
  <c r="D84" i="13" s="1"/>
  <c r="E82" i="13"/>
  <c r="E84" i="13" s="1"/>
  <c r="C82" i="13"/>
  <c r="F82" i="13" s="1"/>
  <c r="M80" i="8"/>
  <c r="N80" i="8"/>
  <c r="N82" i="8" s="1"/>
  <c r="O80" i="8"/>
  <c r="O82" i="8" s="1"/>
  <c r="P80" i="8"/>
  <c r="P82" i="8" s="1"/>
  <c r="Q80" i="8"/>
  <c r="Q82" i="8" s="1"/>
  <c r="R80" i="8"/>
  <c r="R82" i="8" s="1"/>
  <c r="L80" i="8"/>
  <c r="L82" i="8" s="1"/>
  <c r="D80" i="8"/>
  <c r="D82" i="8" s="1"/>
  <c r="E80" i="8"/>
  <c r="E82" i="8" s="1"/>
  <c r="F80" i="8"/>
  <c r="F82" i="8" s="1"/>
  <c r="G80" i="8"/>
  <c r="G82" i="8" s="1"/>
  <c r="J80" i="8"/>
  <c r="J82" i="8" s="1"/>
  <c r="C80" i="8"/>
  <c r="C82" i="8" s="1"/>
  <c r="H77" i="8"/>
  <c r="I77" i="8" s="1"/>
  <c r="S77" i="8"/>
  <c r="H78" i="8"/>
  <c r="I78" i="8" s="1"/>
  <c r="K78" i="8" s="1"/>
  <c r="S78" i="8"/>
  <c r="H79" i="8"/>
  <c r="I79" i="8" s="1"/>
  <c r="K79" i="8" s="1"/>
  <c r="S79" i="8"/>
  <c r="H81" i="8"/>
  <c r="I81" i="8" s="1"/>
  <c r="K81" i="8" s="1"/>
  <c r="S81" i="8"/>
  <c r="F79" i="13"/>
  <c r="F80" i="13"/>
  <c r="F81" i="13"/>
  <c r="E69" i="18"/>
  <c r="E70" i="18"/>
  <c r="E71" i="18"/>
  <c r="C100" i="14"/>
  <c r="D100" i="14"/>
  <c r="C101" i="14"/>
  <c r="D101" i="14"/>
  <c r="C102" i="14"/>
  <c r="D102" i="14"/>
  <c r="C103" i="14"/>
  <c r="D103" i="14"/>
  <c r="C104" i="14"/>
  <c r="D104" i="14"/>
  <c r="C105" i="14"/>
  <c r="D105" i="14"/>
  <c r="C106" i="14"/>
  <c r="D106" i="14"/>
  <c r="C107" i="14"/>
  <c r="D107" i="14"/>
  <c r="C108" i="14"/>
  <c r="D108" i="14"/>
  <c r="C109" i="14"/>
  <c r="D109" i="14"/>
  <c r="C110" i="14"/>
  <c r="D110" i="14"/>
  <c r="C111" i="14"/>
  <c r="D111" i="14"/>
  <c r="C112" i="14"/>
  <c r="D112" i="14"/>
  <c r="C113" i="14"/>
  <c r="D113" i="14"/>
  <c r="C114" i="14"/>
  <c r="D114" i="14"/>
  <c r="C115" i="14"/>
  <c r="D115" i="14"/>
  <c r="C116" i="14"/>
  <c r="D116" i="14"/>
  <c r="C117" i="14"/>
  <c r="D117" i="14"/>
  <c r="C118" i="14"/>
  <c r="D118" i="14"/>
  <c r="D99" i="14"/>
  <c r="C99" i="14"/>
  <c r="D93" i="14"/>
  <c r="D94" i="14"/>
  <c r="D95" i="14"/>
  <c r="D96" i="14"/>
  <c r="C93" i="14"/>
  <c r="C94" i="14"/>
  <c r="C95" i="14"/>
  <c r="C96" i="14"/>
  <c r="D92" i="14"/>
  <c r="C92" i="14"/>
  <c r="D89" i="14"/>
  <c r="D87" i="14"/>
  <c r="C89" i="14"/>
  <c r="C87" i="14"/>
  <c r="C76" i="14"/>
  <c r="D76" i="14"/>
  <c r="C77" i="14"/>
  <c r="D77" i="14"/>
  <c r="C78" i="14"/>
  <c r="D78" i="14"/>
  <c r="C79" i="14"/>
  <c r="D79" i="14"/>
  <c r="C80" i="14"/>
  <c r="D80" i="14"/>
  <c r="C81" i="14"/>
  <c r="D81" i="14"/>
  <c r="C82" i="14"/>
  <c r="D82" i="14"/>
  <c r="C83" i="14"/>
  <c r="D83" i="14"/>
  <c r="C84" i="14"/>
  <c r="D84" i="14"/>
  <c r="C85" i="14"/>
  <c r="D85" i="14"/>
  <c r="D75" i="14"/>
  <c r="C75" i="14"/>
  <c r="E68" i="17"/>
  <c r="E69" i="17"/>
  <c r="E70" i="17"/>
  <c r="E71" i="17"/>
  <c r="E72" i="17"/>
  <c r="E73" i="17"/>
  <c r="E74" i="17"/>
  <c r="E75" i="17"/>
  <c r="E76" i="17"/>
  <c r="E77" i="17"/>
  <c r="E78" i="17"/>
  <c r="E79" i="17"/>
  <c r="E80" i="17"/>
  <c r="E81" i="17"/>
  <c r="E82" i="17"/>
  <c r="E83" i="17"/>
  <c r="E84" i="17"/>
  <c r="E85" i="17"/>
  <c r="C86" i="17"/>
  <c r="E86" i="17" s="1"/>
  <c r="E88" i="17" s="1"/>
  <c r="D86" i="17"/>
  <c r="D88" i="17" s="1"/>
  <c r="E87" i="17"/>
  <c r="E89" i="17"/>
  <c r="E92" i="17"/>
  <c r="E93" i="17"/>
  <c r="E94" i="17"/>
  <c r="E95" i="17"/>
  <c r="E96" i="17"/>
  <c r="E99" i="17"/>
  <c r="E100" i="17"/>
  <c r="E101" i="17"/>
  <c r="E102" i="17"/>
  <c r="E103" i="17"/>
  <c r="E104" i="17"/>
  <c r="E105" i="17"/>
  <c r="E106" i="17"/>
  <c r="E107" i="17"/>
  <c r="E108" i="17"/>
  <c r="E109" i="17"/>
  <c r="E110" i="17"/>
  <c r="E111" i="17"/>
  <c r="E112" i="17"/>
  <c r="E113" i="17"/>
  <c r="E114" i="17"/>
  <c r="E115" i="17"/>
  <c r="E116" i="17"/>
  <c r="E117" i="17"/>
  <c r="E118" i="17"/>
  <c r="C119" i="17"/>
  <c r="D119" i="17"/>
  <c r="E51" i="17"/>
  <c r="E52" i="17"/>
  <c r="E53" i="17"/>
  <c r="E54" i="17"/>
  <c r="E55" i="17"/>
  <c r="E56" i="17"/>
  <c r="E57" i="17"/>
  <c r="E58" i="17"/>
  <c r="E59" i="17"/>
  <c r="E60" i="17"/>
  <c r="E61" i="17"/>
  <c r="E62" i="17"/>
  <c r="E63" i="17"/>
  <c r="E64" i="17"/>
  <c r="E65" i="17"/>
  <c r="C66" i="17"/>
  <c r="D66" i="17"/>
  <c r="E34" i="17"/>
  <c r="E35" i="17"/>
  <c r="E36" i="17"/>
  <c r="E37" i="17"/>
  <c r="E38" i="17"/>
  <c r="E39" i="17"/>
  <c r="E40" i="17"/>
  <c r="E41" i="17"/>
  <c r="E42" i="17"/>
  <c r="E43" i="17"/>
  <c r="E44" i="17"/>
  <c r="E45" i="17"/>
  <c r="E46" i="17"/>
  <c r="E47" i="17"/>
  <c r="E48" i="17"/>
  <c r="C49" i="17"/>
  <c r="D49" i="17"/>
  <c r="E26" i="17"/>
  <c r="E27" i="17"/>
  <c r="E32" i="17" s="1"/>
  <c r="E28" i="17"/>
  <c r="E29" i="17"/>
  <c r="E30" i="17"/>
  <c r="E31" i="17"/>
  <c r="C32" i="17"/>
  <c r="D32" i="17"/>
  <c r="E13" i="17"/>
  <c r="E14" i="17"/>
  <c r="E15" i="17"/>
  <c r="E16" i="17"/>
  <c r="E17" i="17"/>
  <c r="E18" i="17"/>
  <c r="E19" i="17"/>
  <c r="C20" i="17"/>
  <c r="C24" i="17" s="1"/>
  <c r="D20" i="17"/>
  <c r="D24" i="17" s="1"/>
  <c r="E21" i="17"/>
  <c r="E125" i="17" s="1"/>
  <c r="E127" i="17" s="1"/>
  <c r="E22" i="17"/>
  <c r="E23" i="17"/>
  <c r="E9" i="17"/>
  <c r="E10" i="17"/>
  <c r="E11" i="17"/>
  <c r="E68" i="16"/>
  <c r="E69" i="16"/>
  <c r="E70" i="16"/>
  <c r="E71" i="16"/>
  <c r="E72" i="16"/>
  <c r="E73" i="16"/>
  <c r="E74" i="16"/>
  <c r="E75" i="16"/>
  <c r="E76" i="16"/>
  <c r="E77" i="16"/>
  <c r="E78" i="16"/>
  <c r="E79" i="16"/>
  <c r="E80" i="16"/>
  <c r="E81" i="16"/>
  <c r="E82" i="16"/>
  <c r="E83" i="16"/>
  <c r="E84" i="16"/>
  <c r="E85" i="16"/>
  <c r="C86" i="16"/>
  <c r="D86" i="16"/>
  <c r="E87" i="16"/>
  <c r="C88" i="16"/>
  <c r="E89" i="16"/>
  <c r="E92" i="16"/>
  <c r="E93" i="16"/>
  <c r="E94" i="16"/>
  <c r="E95" i="16"/>
  <c r="E96" i="16"/>
  <c r="E99" i="16"/>
  <c r="E100" i="16"/>
  <c r="E101" i="16"/>
  <c r="E102" i="16"/>
  <c r="E103" i="16"/>
  <c r="E104" i="16"/>
  <c r="E105" i="16"/>
  <c r="E106" i="16"/>
  <c r="E107" i="16"/>
  <c r="E108" i="16"/>
  <c r="E109" i="16"/>
  <c r="E110" i="16"/>
  <c r="E111" i="16"/>
  <c r="E112" i="16"/>
  <c r="E113" i="16"/>
  <c r="E114" i="16"/>
  <c r="E115" i="16"/>
  <c r="E116" i="16"/>
  <c r="E117" i="16"/>
  <c r="E118" i="16"/>
  <c r="C119" i="16"/>
  <c r="D119" i="16"/>
  <c r="E51" i="16"/>
  <c r="E52" i="16"/>
  <c r="E53" i="16"/>
  <c r="E54" i="16"/>
  <c r="E55" i="16"/>
  <c r="E56" i="16"/>
  <c r="E57" i="16"/>
  <c r="E58" i="16"/>
  <c r="E59" i="16"/>
  <c r="E60" i="16"/>
  <c r="E61" i="16"/>
  <c r="E62" i="16"/>
  <c r="E63" i="16"/>
  <c r="E64" i="16"/>
  <c r="E65" i="16"/>
  <c r="C66" i="16"/>
  <c r="D66" i="16"/>
  <c r="E34" i="16"/>
  <c r="E35" i="16"/>
  <c r="E36" i="16"/>
  <c r="E37" i="16"/>
  <c r="E38" i="16"/>
  <c r="E39" i="16"/>
  <c r="E40" i="16"/>
  <c r="E41" i="16"/>
  <c r="E42" i="16"/>
  <c r="E43" i="16"/>
  <c r="E44" i="16"/>
  <c r="E45" i="16"/>
  <c r="E46" i="16"/>
  <c r="E47" i="16"/>
  <c r="E48" i="16"/>
  <c r="C49" i="16"/>
  <c r="D49" i="16"/>
  <c r="E26" i="16"/>
  <c r="E32" i="16" s="1"/>
  <c r="E27" i="16"/>
  <c r="E28" i="16"/>
  <c r="E29" i="16"/>
  <c r="E30" i="16"/>
  <c r="E31" i="16"/>
  <c r="C32" i="16"/>
  <c r="D32" i="16"/>
  <c r="E13" i="16"/>
  <c r="E14" i="16"/>
  <c r="E15" i="16"/>
  <c r="E16" i="16"/>
  <c r="E17" i="16"/>
  <c r="E18" i="16"/>
  <c r="E19" i="16"/>
  <c r="C20" i="16"/>
  <c r="D20" i="16"/>
  <c r="E21" i="16"/>
  <c r="E22" i="16"/>
  <c r="E23" i="16"/>
  <c r="C24" i="16"/>
  <c r="D24" i="16"/>
  <c r="E9" i="16"/>
  <c r="E10" i="16"/>
  <c r="E11" i="16"/>
  <c r="D86" i="15"/>
  <c r="D88" i="15" s="1"/>
  <c r="C86" i="15"/>
  <c r="C88" i="15" s="1"/>
  <c r="E83" i="15"/>
  <c r="E84" i="15"/>
  <c r="E85" i="15"/>
  <c r="O84" i="43"/>
  <c r="O86" i="43" s="1"/>
  <c r="P84" i="43"/>
  <c r="P86" i="43" s="1"/>
  <c r="K84" i="43"/>
  <c r="K86" i="43" s="1"/>
  <c r="L84" i="43"/>
  <c r="L86" i="43" s="1"/>
  <c r="H84" i="43"/>
  <c r="H86" i="43" s="1"/>
  <c r="G84" i="43"/>
  <c r="G86" i="43" s="1"/>
  <c r="D84" i="43"/>
  <c r="D86" i="43" s="1"/>
  <c r="C84" i="43"/>
  <c r="C86" i="43" s="1"/>
  <c r="S83" i="43"/>
  <c r="T83" i="43"/>
  <c r="Q83" i="43"/>
  <c r="M83" i="43"/>
  <c r="I83" i="43"/>
  <c r="E83" i="43"/>
  <c r="S82" i="43"/>
  <c r="T82" i="43"/>
  <c r="Q82" i="43"/>
  <c r="M82" i="43"/>
  <c r="I82" i="43"/>
  <c r="E82" i="43"/>
  <c r="S81" i="43"/>
  <c r="U81" i="43" s="1"/>
  <c r="T81" i="43"/>
  <c r="Q81" i="43"/>
  <c r="M81" i="43"/>
  <c r="I81" i="43"/>
  <c r="E81" i="43"/>
  <c r="E85" i="14" l="1"/>
  <c r="E119" i="17"/>
  <c r="D86" i="14"/>
  <c r="C88" i="17"/>
  <c r="E49" i="17"/>
  <c r="D90" i="17"/>
  <c r="D97" i="17" s="1"/>
  <c r="D122" i="17" s="1"/>
  <c r="D124" i="17" s="1"/>
  <c r="D129" i="17" s="1"/>
  <c r="D133" i="17" s="1"/>
  <c r="D140" i="17" s="1"/>
  <c r="E66" i="17"/>
  <c r="E20" i="17"/>
  <c r="E24" i="17" s="1"/>
  <c r="C90" i="17"/>
  <c r="C97" i="17" s="1"/>
  <c r="C122" i="17" s="1"/>
  <c r="C124" i="17" s="1"/>
  <c r="C129" i="17" s="1"/>
  <c r="C133" i="17" s="1"/>
  <c r="C140" i="17" s="1"/>
  <c r="E86" i="16"/>
  <c r="E88" i="16" s="1"/>
  <c r="C90" i="16"/>
  <c r="C97" i="16" s="1"/>
  <c r="C122" i="16" s="1"/>
  <c r="C124" i="16" s="1"/>
  <c r="E20" i="16"/>
  <c r="E24" i="16" s="1"/>
  <c r="E119" i="16"/>
  <c r="E66" i="16"/>
  <c r="E49" i="16"/>
  <c r="S80" i="8"/>
  <c r="H80" i="8"/>
  <c r="C84" i="13"/>
  <c r="C129" i="16"/>
  <c r="E83" i="14"/>
  <c r="E86" i="15"/>
  <c r="E84" i="14"/>
  <c r="E84" i="43"/>
  <c r="I84" i="43"/>
  <c r="M84" i="43"/>
  <c r="Q84" i="43"/>
  <c r="S84" i="43"/>
  <c r="U83" i="43"/>
  <c r="U82" i="43"/>
  <c r="E90" i="17"/>
  <c r="E97" i="17" s="1"/>
  <c r="E122" i="17" s="1"/>
  <c r="E124" i="17" s="1"/>
  <c r="E129" i="17" s="1"/>
  <c r="E133" i="17" s="1"/>
  <c r="E140" i="17" s="1"/>
  <c r="S86" i="43"/>
  <c r="E90" i="16"/>
  <c r="E97" i="16" s="1"/>
  <c r="E122" i="16" s="1"/>
  <c r="E124" i="16" s="1"/>
  <c r="E129" i="16" s="1"/>
  <c r="E133" i="16" s="1"/>
  <c r="E140" i="16" s="1"/>
  <c r="I80" i="8"/>
  <c r="T84" i="43"/>
  <c r="K77" i="8"/>
  <c r="C86" i="14"/>
  <c r="M82" i="8"/>
  <c r="D88" i="16"/>
  <c r="D90" i="16" s="1"/>
  <c r="D97" i="16" s="1"/>
  <c r="D122" i="16" s="1"/>
  <c r="D124" i="16" s="1"/>
  <c r="D129" i="16" s="1"/>
  <c r="D18" i="39"/>
  <c r="E18" i="39"/>
  <c r="F18" i="39"/>
  <c r="C18" i="39"/>
  <c r="G18" i="39" s="1"/>
  <c r="J18" i="39" s="1"/>
  <c r="D17" i="39"/>
  <c r="E17" i="39"/>
  <c r="F17" i="39"/>
  <c r="C17" i="39"/>
  <c r="A36" i="39"/>
  <c r="C42" i="26"/>
  <c r="L60" i="8"/>
  <c r="L43" i="8"/>
  <c r="L26" i="8"/>
  <c r="L14" i="8"/>
  <c r="L18" i="8" s="1"/>
  <c r="O63" i="7"/>
  <c r="H62" i="7"/>
  <c r="H64" i="7" s="1"/>
  <c r="H51" i="7"/>
  <c r="I50" i="7"/>
  <c r="J50" i="7"/>
  <c r="K50" i="7"/>
  <c r="L50" i="7"/>
  <c r="M50" i="7"/>
  <c r="N50" i="7"/>
  <c r="N51" i="7" s="1"/>
  <c r="H50" i="7"/>
  <c r="I45" i="7"/>
  <c r="I51" i="7" s="1"/>
  <c r="J45" i="7"/>
  <c r="J51" i="7" s="1"/>
  <c r="K45" i="7"/>
  <c r="K51" i="7" s="1"/>
  <c r="L45" i="7"/>
  <c r="L51" i="7" s="1"/>
  <c r="M45" i="7"/>
  <c r="N45" i="7"/>
  <c r="H45" i="7"/>
  <c r="I33" i="7"/>
  <c r="J33" i="7"/>
  <c r="K33" i="7"/>
  <c r="L33" i="7"/>
  <c r="M33" i="7"/>
  <c r="N33" i="7"/>
  <c r="H33" i="7"/>
  <c r="C13" i="14"/>
  <c r="C30" i="43"/>
  <c r="C22" i="43"/>
  <c r="E38" i="28"/>
  <c r="E35" i="28"/>
  <c r="F78" i="41"/>
  <c r="G78" i="41" s="1"/>
  <c r="J78" i="41" s="1"/>
  <c r="M51" i="7" l="1"/>
  <c r="L84" i="8"/>
  <c r="L91" i="8" s="1"/>
  <c r="C133" i="16"/>
  <c r="C140" i="16" s="1"/>
  <c r="D133" i="16"/>
  <c r="D140" i="16" s="1"/>
  <c r="U84" i="43"/>
  <c r="K80" i="8"/>
  <c r="E86" i="14"/>
  <c r="E78" i="41"/>
  <c r="D78" i="41" s="1"/>
  <c r="C78" i="41" s="1"/>
  <c r="C18" i="23" l="1"/>
  <c r="C280" i="35"/>
  <c r="C26" i="26"/>
  <c r="G79" i="41" l="1"/>
  <c r="J79" i="41" s="1"/>
  <c r="G80" i="41"/>
  <c r="J80" i="41"/>
  <c r="G81" i="41"/>
  <c r="J81" i="41" s="1"/>
  <c r="G82" i="41"/>
  <c r="J82" i="41"/>
  <c r="G83" i="41"/>
  <c r="J83" i="41" s="1"/>
  <c r="G84" i="41"/>
  <c r="J84" i="41"/>
  <c r="G85" i="41"/>
  <c r="J85" i="41" s="1"/>
  <c r="G86" i="41"/>
  <c r="J86" i="41"/>
  <c r="G87" i="41"/>
  <c r="J87" i="41" s="1"/>
  <c r="G90" i="41"/>
  <c r="J90" i="41"/>
  <c r="G91" i="41"/>
  <c r="J91" i="41" s="1"/>
  <c r="G92" i="41"/>
  <c r="J92" i="41"/>
  <c r="G93" i="41"/>
  <c r="J93" i="41" s="1"/>
  <c r="G94" i="41"/>
  <c r="J94" i="41"/>
  <c r="G95" i="41"/>
  <c r="J95" i="41" s="1"/>
  <c r="G96" i="41"/>
  <c r="J96" i="41"/>
  <c r="G97" i="41"/>
  <c r="J97" i="41" s="1"/>
  <c r="G98" i="41"/>
  <c r="J98" i="41"/>
  <c r="C99" i="41"/>
  <c r="D99" i="41"/>
  <c r="E99" i="41"/>
  <c r="F99" i="41"/>
  <c r="H99" i="41"/>
  <c r="I99" i="41"/>
  <c r="J6" i="41"/>
  <c r="G54" i="41" s="1"/>
  <c r="R14" i="8"/>
  <c r="J119" i="8"/>
  <c r="G119" i="8"/>
  <c r="F119" i="8"/>
  <c r="E119" i="8"/>
  <c r="D119" i="8"/>
  <c r="C119" i="8"/>
  <c r="E25" i="7"/>
  <c r="F133" i="13"/>
  <c r="F132" i="13"/>
  <c r="F131" i="13"/>
  <c r="F130" i="13"/>
  <c r="F127" i="13"/>
  <c r="F122" i="13"/>
  <c r="F114" i="13"/>
  <c r="F113" i="13"/>
  <c r="F112" i="13"/>
  <c r="F111" i="13"/>
  <c r="F110" i="13"/>
  <c r="F109" i="13"/>
  <c r="F108" i="13"/>
  <c r="F107" i="13"/>
  <c r="F106" i="13"/>
  <c r="F105" i="13"/>
  <c r="F104" i="13"/>
  <c r="F103" i="13"/>
  <c r="F102" i="13"/>
  <c r="F101" i="13"/>
  <c r="F100" i="13"/>
  <c r="F99" i="13"/>
  <c r="F98" i="13"/>
  <c r="F97" i="13"/>
  <c r="F96" i="13"/>
  <c r="F95" i="13"/>
  <c r="F92" i="13"/>
  <c r="F91" i="13"/>
  <c r="F90" i="13"/>
  <c r="F89" i="13"/>
  <c r="F88" i="13"/>
  <c r="F85" i="13"/>
  <c r="F83" i="13"/>
  <c r="F78" i="13"/>
  <c r="F77" i="13"/>
  <c r="F76" i="13"/>
  <c r="F75" i="13"/>
  <c r="F74" i="13"/>
  <c r="F73" i="13"/>
  <c r="F72" i="13"/>
  <c r="F71" i="13"/>
  <c r="F70" i="13"/>
  <c r="F69" i="13"/>
  <c r="F68" i="13"/>
  <c r="F67" i="13"/>
  <c r="F66" i="13"/>
  <c r="F65" i="13"/>
  <c r="F64" i="13"/>
  <c r="F61" i="13"/>
  <c r="F60" i="13"/>
  <c r="F59" i="13"/>
  <c r="F58" i="13"/>
  <c r="F57" i="13"/>
  <c r="F56" i="13"/>
  <c r="F55" i="13"/>
  <c r="F54" i="13"/>
  <c r="F53" i="13"/>
  <c r="F52" i="13"/>
  <c r="F51" i="13"/>
  <c r="F50" i="13"/>
  <c r="F49" i="13"/>
  <c r="F48" i="13"/>
  <c r="F47" i="13"/>
  <c r="F44" i="13"/>
  <c r="F43" i="13"/>
  <c r="F42" i="13"/>
  <c r="F41" i="13"/>
  <c r="F40" i="13"/>
  <c r="F39" i="13"/>
  <c r="F38" i="13"/>
  <c r="F37" i="13"/>
  <c r="F36" i="13"/>
  <c r="F35" i="13"/>
  <c r="F34" i="13"/>
  <c r="F33" i="13"/>
  <c r="F32" i="13"/>
  <c r="F31" i="13"/>
  <c r="F30" i="13"/>
  <c r="F27" i="13"/>
  <c r="F26" i="13"/>
  <c r="F25" i="13"/>
  <c r="F24" i="13"/>
  <c r="F23" i="13"/>
  <c r="F22" i="13"/>
  <c r="F19" i="13"/>
  <c r="F18" i="13"/>
  <c r="F17" i="13"/>
  <c r="F121" i="13" s="1"/>
  <c r="F15" i="13"/>
  <c r="F14" i="13"/>
  <c r="F13" i="13"/>
  <c r="F12" i="13"/>
  <c r="F11" i="13"/>
  <c r="F10" i="13"/>
  <c r="F9" i="13"/>
  <c r="E121" i="13"/>
  <c r="E123" i="13" s="1"/>
  <c r="E115" i="13"/>
  <c r="E62" i="13"/>
  <c r="E45" i="13"/>
  <c r="E28" i="13"/>
  <c r="E16" i="13"/>
  <c r="E20" i="13" s="1"/>
  <c r="D121" i="13"/>
  <c r="D123" i="13" s="1"/>
  <c r="C121" i="13"/>
  <c r="C123" i="13" s="1"/>
  <c r="D115" i="13"/>
  <c r="C115" i="13"/>
  <c r="D62" i="13"/>
  <c r="C62" i="13"/>
  <c r="D45" i="13"/>
  <c r="C45" i="13"/>
  <c r="D28" i="13"/>
  <c r="C28" i="13"/>
  <c r="D16" i="13"/>
  <c r="D20" i="13" s="1"/>
  <c r="C16" i="13"/>
  <c r="C20" i="13" s="1"/>
  <c r="F67" i="12"/>
  <c r="F66" i="12"/>
  <c r="F65" i="12"/>
  <c r="F68" i="12" s="1"/>
  <c r="F71" i="12" s="1"/>
  <c r="F64" i="12"/>
  <c r="F63" i="12"/>
  <c r="F62" i="12"/>
  <c r="F61" i="12"/>
  <c r="F60" i="12"/>
  <c r="F59" i="12"/>
  <c r="F54" i="12"/>
  <c r="F53" i="12"/>
  <c r="F52" i="12"/>
  <c r="F49" i="12"/>
  <c r="F48" i="12"/>
  <c r="F47" i="12"/>
  <c r="F46" i="12"/>
  <c r="F45" i="12"/>
  <c r="F43" i="12"/>
  <c r="F44" i="12" s="1"/>
  <c r="F42" i="12"/>
  <c r="F41" i="12"/>
  <c r="F40" i="12"/>
  <c r="F34" i="12"/>
  <c r="F32" i="12"/>
  <c r="F31" i="12"/>
  <c r="F30" i="12"/>
  <c r="F29" i="12"/>
  <c r="F28" i="12"/>
  <c r="F25" i="12"/>
  <c r="F24" i="12"/>
  <c r="F23" i="12"/>
  <c r="F22" i="12"/>
  <c r="F21" i="12"/>
  <c r="F26" i="12" s="1"/>
  <c r="F18" i="12"/>
  <c r="F17" i="12"/>
  <c r="F16" i="12"/>
  <c r="F15" i="12"/>
  <c r="F14" i="12"/>
  <c r="F13" i="12"/>
  <c r="F12" i="12"/>
  <c r="F11" i="12"/>
  <c r="F10" i="12"/>
  <c r="F55" i="12"/>
  <c r="E68" i="12"/>
  <c r="E71" i="12" s="1"/>
  <c r="D68" i="12"/>
  <c r="D71" i="12" s="1"/>
  <c r="C68" i="12"/>
  <c r="C71" i="12" s="1"/>
  <c r="E55" i="12"/>
  <c r="D55" i="12"/>
  <c r="C55" i="12"/>
  <c r="E50" i="12"/>
  <c r="E57" i="12" s="1"/>
  <c r="E72" i="12" s="1"/>
  <c r="E44" i="12"/>
  <c r="D44" i="12"/>
  <c r="D50" i="12" s="1"/>
  <c r="D57" i="12" s="1"/>
  <c r="D72" i="12" s="1"/>
  <c r="C44" i="12"/>
  <c r="C50" i="12" s="1"/>
  <c r="E33" i="12"/>
  <c r="E35" i="12" s="1"/>
  <c r="D33" i="12"/>
  <c r="D35" i="12" s="1"/>
  <c r="C33" i="12"/>
  <c r="C35" i="12" s="1"/>
  <c r="E26" i="12"/>
  <c r="D26" i="12"/>
  <c r="C26" i="12"/>
  <c r="E19" i="12"/>
  <c r="D19" i="12"/>
  <c r="C19" i="12"/>
  <c r="C6" i="12"/>
  <c r="D6" i="12"/>
  <c r="E6" i="12"/>
  <c r="A3" i="45"/>
  <c r="B3" i="18"/>
  <c r="A2" i="45"/>
  <c r="F29" i="45"/>
  <c r="B29" i="45"/>
  <c r="F28" i="13" l="1"/>
  <c r="C86" i="13"/>
  <c r="F84" i="13"/>
  <c r="F115" i="13"/>
  <c r="F16" i="13"/>
  <c r="F20" i="13" s="1"/>
  <c r="F45" i="13"/>
  <c r="F62" i="13"/>
  <c r="J99" i="41"/>
  <c r="G99" i="41"/>
  <c r="H30" i="41"/>
  <c r="I6" i="41"/>
  <c r="F123" i="13"/>
  <c r="E86" i="13"/>
  <c r="E93" i="13" s="1"/>
  <c r="D86" i="13"/>
  <c r="D93" i="13" s="1"/>
  <c r="C93" i="13"/>
  <c r="C57" i="12"/>
  <c r="C72" i="12" s="1"/>
  <c r="E37" i="12"/>
  <c r="F33" i="12"/>
  <c r="F35" i="12" s="1"/>
  <c r="F50" i="12"/>
  <c r="F57" i="12" s="1"/>
  <c r="F72" i="12" s="1"/>
  <c r="F19" i="12"/>
  <c r="C37" i="12"/>
  <c r="D37" i="12"/>
  <c r="E118" i="13" l="1"/>
  <c r="E120" i="13" s="1"/>
  <c r="E125" i="13" s="1"/>
  <c r="C118" i="13"/>
  <c r="C120" i="13" s="1"/>
  <c r="C125" i="13" s="1"/>
  <c r="D118" i="13"/>
  <c r="D120" i="13" s="1"/>
  <c r="D125" i="13" s="1"/>
  <c r="F86" i="13"/>
  <c r="F93" i="13" s="1"/>
  <c r="H6" i="41"/>
  <c r="G30" i="41"/>
  <c r="F54" i="41"/>
  <c r="F37" i="12"/>
  <c r="D128" i="13" l="1"/>
  <c r="D135" i="13" s="1"/>
  <c r="E128" i="13"/>
  <c r="E135" i="13" s="1"/>
  <c r="C128" i="13"/>
  <c r="C135" i="13" s="1"/>
  <c r="F118" i="13"/>
  <c r="F120" i="13" s="1"/>
  <c r="F125" i="13" s="1"/>
  <c r="G6" i="41"/>
  <c r="F30" i="41"/>
  <c r="E54" i="41"/>
  <c r="E79" i="18"/>
  <c r="B3" i="22"/>
  <c r="B3" i="21"/>
  <c r="C3" i="20"/>
  <c r="C3" i="35"/>
  <c r="B3" i="36"/>
  <c r="B3" i="26"/>
  <c r="B3" i="27"/>
  <c r="B3" i="19"/>
  <c r="C358" i="35"/>
  <c r="N301" i="35"/>
  <c r="D321" i="35" s="1"/>
  <c r="D223" i="35"/>
  <c r="D236" i="35" s="1"/>
  <c r="D247" i="35" s="1"/>
  <c r="B3" i="37"/>
  <c r="F128" i="13" l="1"/>
  <c r="F135" i="13" s="1"/>
  <c r="C8" i="26"/>
  <c r="C16" i="26"/>
  <c r="F6" i="41"/>
  <c r="E30" i="41"/>
  <c r="D54" i="41"/>
  <c r="I330" i="35"/>
  <c r="L301" i="35"/>
  <c r="D30" i="41" l="1"/>
  <c r="C54" i="41"/>
  <c r="G323" i="35"/>
  <c r="H330" i="35"/>
  <c r="J301" i="35"/>
  <c r="H301" i="35" l="1"/>
  <c r="F323" i="35"/>
  <c r="G330" i="35"/>
  <c r="F301" i="35" l="1"/>
  <c r="E323" i="35"/>
  <c r="F330" i="35"/>
  <c r="E330" i="35" l="1"/>
  <c r="D323" i="35"/>
  <c r="L16" i="4" l="1"/>
  <c r="N16" i="4"/>
  <c r="J16" i="4"/>
  <c r="A5" i="44"/>
  <c r="G40" i="44" l="1"/>
  <c r="F40" i="44"/>
  <c r="E40" i="44"/>
  <c r="D40" i="44"/>
  <c r="G39" i="44"/>
  <c r="F39" i="44"/>
  <c r="E39" i="44"/>
  <c r="D39" i="44"/>
  <c r="G38" i="44"/>
  <c r="F38" i="44"/>
  <c r="E38" i="44"/>
  <c r="D38" i="44"/>
  <c r="G37" i="44"/>
  <c r="F37" i="44"/>
  <c r="E37" i="44"/>
  <c r="D37" i="44"/>
  <c r="G36" i="44"/>
  <c r="F36" i="44"/>
  <c r="E36" i="44"/>
  <c r="D36" i="44"/>
  <c r="G35" i="44"/>
  <c r="F35" i="44"/>
  <c r="E35" i="44"/>
  <c r="D35" i="44"/>
  <c r="G34" i="44"/>
  <c r="F34" i="44"/>
  <c r="E34" i="44"/>
  <c r="D34" i="44"/>
  <c r="G33" i="44"/>
  <c r="F33" i="44"/>
  <c r="E33" i="44"/>
  <c r="D33" i="44"/>
  <c r="G31" i="44"/>
  <c r="F31" i="44"/>
  <c r="E31" i="44"/>
  <c r="D31" i="44"/>
  <c r="G24" i="44"/>
  <c r="F24" i="44"/>
  <c r="E24" i="44"/>
  <c r="D24" i="44"/>
  <c r="G23" i="44"/>
  <c r="F23" i="44"/>
  <c r="E23" i="44"/>
  <c r="D23" i="44"/>
  <c r="G22" i="44"/>
  <c r="F22" i="44"/>
  <c r="E22" i="44"/>
  <c r="D22" i="44"/>
  <c r="G21" i="44"/>
  <c r="F21" i="44"/>
  <c r="E21" i="44"/>
  <c r="D21" i="44"/>
  <c r="G20" i="44"/>
  <c r="F20" i="44"/>
  <c r="E20" i="44"/>
  <c r="D20" i="44"/>
  <c r="G19" i="44"/>
  <c r="F19" i="44"/>
  <c r="E19" i="44"/>
  <c r="D19" i="44"/>
  <c r="G18" i="44"/>
  <c r="F18" i="44"/>
  <c r="E18" i="44"/>
  <c r="D18" i="44"/>
  <c r="G14" i="44"/>
  <c r="F14" i="44"/>
  <c r="E14" i="44"/>
  <c r="D14" i="44"/>
  <c r="G12" i="44"/>
  <c r="F12" i="44"/>
  <c r="E12" i="44"/>
  <c r="D12" i="44"/>
  <c r="G11" i="44"/>
  <c r="F11" i="44"/>
  <c r="E11" i="44"/>
  <c r="G10" i="44"/>
  <c r="F10" i="44"/>
  <c r="E10" i="44"/>
  <c r="D10" i="44"/>
  <c r="L35" i="44" l="1"/>
  <c r="M35" i="44" s="1"/>
  <c r="A3" i="44"/>
  <c r="A17" i="44" s="1"/>
  <c r="L9" i="44"/>
  <c r="D9" i="44" s="1"/>
  <c r="B13" i="44"/>
  <c r="B15" i="44" s="1"/>
  <c r="B25" i="44"/>
  <c r="B28" i="44" s="1"/>
  <c r="M26" i="44"/>
  <c r="M27" i="44" s="1"/>
  <c r="B32" i="44"/>
  <c r="L40" i="44"/>
  <c r="M40" i="44" s="1"/>
  <c r="B41" i="44"/>
  <c r="L39" i="44" l="1"/>
  <c r="M39" i="44" s="1"/>
  <c r="L12" i="44"/>
  <c r="M12" i="44" s="1"/>
  <c r="L34" i="44"/>
  <c r="M34" i="44" s="1"/>
  <c r="L36" i="44"/>
  <c r="M36" i="44" s="1"/>
  <c r="L19" i="44"/>
  <c r="M19" i="44" s="1"/>
  <c r="L20" i="44"/>
  <c r="M20" i="44" s="1"/>
  <c r="L31" i="44"/>
  <c r="M31" i="44" s="1"/>
  <c r="M32" i="44" s="1"/>
  <c r="L23" i="44"/>
  <c r="M23" i="44" s="1"/>
  <c r="L38" i="44"/>
  <c r="M38" i="44" s="1"/>
  <c r="L10" i="44"/>
  <c r="M10" i="44" s="1"/>
  <c r="L33" i="44"/>
  <c r="M33" i="44" s="1"/>
  <c r="L21" i="44"/>
  <c r="M21" i="44" s="1"/>
  <c r="L14" i="44"/>
  <c r="M14" i="44" s="1"/>
  <c r="L24" i="44"/>
  <c r="M24" i="44" s="1"/>
  <c r="L22" i="44"/>
  <c r="M22" i="44" s="1"/>
  <c r="L11" i="44"/>
  <c r="M11" i="44" s="1"/>
  <c r="L37" i="44"/>
  <c r="M37" i="44" s="1"/>
  <c r="L18" i="44"/>
  <c r="M18" i="44" s="1"/>
  <c r="E9" i="44"/>
  <c r="H9" i="44"/>
  <c r="M41" i="44" l="1"/>
  <c r="M25" i="44"/>
  <c r="M13" i="44"/>
  <c r="F9" i="44"/>
  <c r="I9" i="44"/>
  <c r="G9" i="44" l="1"/>
  <c r="K9" i="44" s="1"/>
  <c r="J9" i="44"/>
  <c r="B6" i="14" l="1"/>
  <c r="B5" i="14"/>
  <c r="E21" i="15"/>
  <c r="E125" i="15" s="1"/>
  <c r="E22" i="15"/>
  <c r="E23" i="15"/>
  <c r="E26" i="15"/>
  <c r="E27" i="15"/>
  <c r="E28" i="15"/>
  <c r="E29" i="15"/>
  <c r="E30" i="15"/>
  <c r="E31" i="15"/>
  <c r="E34" i="15"/>
  <c r="E35" i="15"/>
  <c r="E36" i="15"/>
  <c r="E37" i="15"/>
  <c r="E38" i="15"/>
  <c r="E39" i="15"/>
  <c r="E40" i="15"/>
  <c r="E41" i="15"/>
  <c r="E42" i="15"/>
  <c r="E43" i="15"/>
  <c r="E44" i="15"/>
  <c r="E45" i="15"/>
  <c r="E46" i="15"/>
  <c r="E47" i="15"/>
  <c r="E48" i="15"/>
  <c r="E51" i="15"/>
  <c r="E52" i="15"/>
  <c r="E53" i="15"/>
  <c r="E54" i="15"/>
  <c r="E55" i="15"/>
  <c r="E56" i="15"/>
  <c r="E57" i="15"/>
  <c r="E58" i="15"/>
  <c r="E59" i="15"/>
  <c r="E60" i="15"/>
  <c r="E61" i="15"/>
  <c r="E62" i="15"/>
  <c r="E63" i="15"/>
  <c r="E64" i="15"/>
  <c r="E65" i="15"/>
  <c r="E68" i="15"/>
  <c r="E69" i="15"/>
  <c r="E70" i="15"/>
  <c r="E71" i="15"/>
  <c r="E72" i="15"/>
  <c r="E73" i="15"/>
  <c r="E74" i="15"/>
  <c r="E75" i="15"/>
  <c r="E76" i="15"/>
  <c r="E77" i="15"/>
  <c r="E78" i="15"/>
  <c r="E79" i="15"/>
  <c r="E80" i="15"/>
  <c r="E81" i="15"/>
  <c r="E82" i="15"/>
  <c r="E87" i="15"/>
  <c r="E89" i="15"/>
  <c r="E92" i="15"/>
  <c r="E93" i="15"/>
  <c r="E94" i="15"/>
  <c r="E95" i="15"/>
  <c r="E96" i="15"/>
  <c r="E99" i="15"/>
  <c r="E100" i="15"/>
  <c r="E101" i="15"/>
  <c r="E102" i="15"/>
  <c r="E103" i="15"/>
  <c r="E104" i="15"/>
  <c r="E105" i="15"/>
  <c r="E106" i="15"/>
  <c r="E107" i="15"/>
  <c r="E108" i="15"/>
  <c r="E109" i="15"/>
  <c r="E110" i="15"/>
  <c r="E111" i="15"/>
  <c r="E112" i="15"/>
  <c r="E113" i="15"/>
  <c r="E114" i="15"/>
  <c r="E115" i="15"/>
  <c r="E116" i="15"/>
  <c r="E117" i="15"/>
  <c r="E118" i="15"/>
  <c r="E126" i="15"/>
  <c r="E131" i="15"/>
  <c r="E135" i="15"/>
  <c r="E136" i="15"/>
  <c r="E137" i="15"/>
  <c r="E138" i="15"/>
  <c r="D3" i="43"/>
  <c r="E109" i="14"/>
  <c r="E95" i="14"/>
  <c r="E87" i="14"/>
  <c r="D74" i="14"/>
  <c r="C74" i="14"/>
  <c r="D73" i="14"/>
  <c r="C73" i="14"/>
  <c r="D72" i="14"/>
  <c r="C72" i="14"/>
  <c r="D71" i="14"/>
  <c r="C71" i="14"/>
  <c r="D70" i="14"/>
  <c r="C70" i="14"/>
  <c r="D69" i="14"/>
  <c r="C69" i="14"/>
  <c r="D68" i="14"/>
  <c r="C68" i="14"/>
  <c r="D65" i="14"/>
  <c r="C65" i="14"/>
  <c r="D64" i="14"/>
  <c r="C64" i="14"/>
  <c r="D63" i="14"/>
  <c r="C63" i="14"/>
  <c r="D62" i="14"/>
  <c r="C62" i="14"/>
  <c r="D61" i="14"/>
  <c r="C61" i="14"/>
  <c r="D60" i="14"/>
  <c r="C60" i="14"/>
  <c r="D59" i="14"/>
  <c r="C59" i="14"/>
  <c r="D58" i="14"/>
  <c r="C58" i="14"/>
  <c r="D57" i="14"/>
  <c r="C57" i="14"/>
  <c r="D56" i="14"/>
  <c r="C56" i="14"/>
  <c r="D55" i="14"/>
  <c r="C55" i="14"/>
  <c r="D54" i="14"/>
  <c r="C54" i="14"/>
  <c r="D53" i="14"/>
  <c r="C53" i="14"/>
  <c r="D52" i="14"/>
  <c r="C52" i="14"/>
  <c r="D51" i="14"/>
  <c r="C51" i="14"/>
  <c r="D48" i="14"/>
  <c r="C48" i="14"/>
  <c r="D47" i="14"/>
  <c r="C47" i="14"/>
  <c r="D46" i="14"/>
  <c r="C46" i="14"/>
  <c r="D45" i="14"/>
  <c r="C45" i="14"/>
  <c r="D44" i="14"/>
  <c r="C44" i="14"/>
  <c r="D43" i="14"/>
  <c r="C43" i="14"/>
  <c r="D42" i="14"/>
  <c r="C42" i="14"/>
  <c r="D41" i="14"/>
  <c r="C41" i="14"/>
  <c r="D40" i="14"/>
  <c r="C40" i="14"/>
  <c r="D39" i="14"/>
  <c r="C39" i="14"/>
  <c r="D38" i="14"/>
  <c r="C38" i="14"/>
  <c r="D37" i="14"/>
  <c r="C37" i="14"/>
  <c r="D36" i="14"/>
  <c r="C36" i="14"/>
  <c r="D35" i="14"/>
  <c r="C35" i="14"/>
  <c r="D34" i="14"/>
  <c r="C34" i="14"/>
  <c r="D31" i="14"/>
  <c r="C31" i="14"/>
  <c r="D30" i="14"/>
  <c r="C30" i="14"/>
  <c r="D29" i="14"/>
  <c r="C29" i="14"/>
  <c r="D28" i="14"/>
  <c r="C28" i="14"/>
  <c r="D27" i="14"/>
  <c r="C27" i="14"/>
  <c r="D26" i="14"/>
  <c r="C26" i="14"/>
  <c r="D23" i="14"/>
  <c r="C23" i="14"/>
  <c r="D22" i="14"/>
  <c r="C22" i="14"/>
  <c r="D21" i="14"/>
  <c r="D125" i="14" s="1"/>
  <c r="C21" i="14"/>
  <c r="C125" i="14" s="1"/>
  <c r="D19" i="14"/>
  <c r="C19" i="14"/>
  <c r="D18" i="14"/>
  <c r="C18" i="14"/>
  <c r="D17" i="14"/>
  <c r="C17" i="14"/>
  <c r="D16" i="14"/>
  <c r="C16" i="14"/>
  <c r="D15" i="14"/>
  <c r="C15" i="14"/>
  <c r="D14" i="14"/>
  <c r="C14" i="14"/>
  <c r="D11" i="14"/>
  <c r="C11" i="14"/>
  <c r="D10" i="14"/>
  <c r="C10" i="14"/>
  <c r="D9" i="14"/>
  <c r="C9" i="14"/>
  <c r="D125" i="15"/>
  <c r="D127" i="15" s="1"/>
  <c r="C125" i="15"/>
  <c r="C127" i="15" s="1"/>
  <c r="D119" i="15"/>
  <c r="C119" i="15"/>
  <c r="D66" i="15"/>
  <c r="C66" i="15"/>
  <c r="D49" i="15"/>
  <c r="C49" i="15"/>
  <c r="D32" i="15"/>
  <c r="C32" i="15"/>
  <c r="D20" i="15"/>
  <c r="D24" i="15" s="1"/>
  <c r="C20" i="15"/>
  <c r="C24" i="15" s="1"/>
  <c r="E19" i="15"/>
  <c r="E18" i="15"/>
  <c r="E17" i="15"/>
  <c r="E16" i="15"/>
  <c r="E15" i="15"/>
  <c r="E14" i="15"/>
  <c r="E13" i="15"/>
  <c r="E11" i="15"/>
  <c r="E10" i="15"/>
  <c r="E9" i="15"/>
  <c r="E37" i="14" l="1"/>
  <c r="E31" i="14"/>
  <c r="E45" i="14"/>
  <c r="E72" i="14"/>
  <c r="E16" i="14"/>
  <c r="D88" i="14"/>
  <c r="C88" i="14"/>
  <c r="E27" i="14"/>
  <c r="E41" i="14"/>
  <c r="E55" i="14"/>
  <c r="E88" i="15"/>
  <c r="E127" i="15"/>
  <c r="E60" i="14"/>
  <c r="E21" i="14"/>
  <c r="E101" i="14"/>
  <c r="E66" i="15"/>
  <c r="E119" i="15"/>
  <c r="E49" i="15"/>
  <c r="E20" i="15"/>
  <c r="E24" i="15" s="1"/>
  <c r="E32" i="15"/>
  <c r="E75" i="14"/>
  <c r="E51" i="14"/>
  <c r="E59" i="14"/>
  <c r="E63" i="14"/>
  <c r="E80" i="14"/>
  <c r="E89" i="14"/>
  <c r="E105" i="14"/>
  <c r="E113" i="14"/>
  <c r="E117" i="14"/>
  <c r="E138" i="14"/>
  <c r="E48" i="14"/>
  <c r="E10" i="14"/>
  <c r="E15" i="14"/>
  <c r="E18" i="14"/>
  <c r="E23" i="14"/>
  <c r="E29" i="14"/>
  <c r="E35" i="14"/>
  <c r="E39" i="14"/>
  <c r="E43" i="14"/>
  <c r="E47" i="14"/>
  <c r="E53" i="14"/>
  <c r="E57" i="14"/>
  <c r="E61" i="14"/>
  <c r="E65" i="14"/>
  <c r="E71" i="14"/>
  <c r="E78" i="14"/>
  <c r="E82" i="14"/>
  <c r="E93" i="14"/>
  <c r="E99" i="14"/>
  <c r="E103" i="14"/>
  <c r="E107" i="14"/>
  <c r="E111" i="14"/>
  <c r="E115" i="14"/>
  <c r="E126" i="14"/>
  <c r="E136" i="14"/>
  <c r="D32" i="14"/>
  <c r="D119" i="14"/>
  <c r="C127" i="14"/>
  <c r="D127" i="14"/>
  <c r="E17" i="14"/>
  <c r="E22" i="14"/>
  <c r="D49" i="14"/>
  <c r="D66" i="14"/>
  <c r="E56" i="14"/>
  <c r="E64" i="14"/>
  <c r="E70" i="14"/>
  <c r="E74" i="14"/>
  <c r="E77" i="14"/>
  <c r="E81" i="14"/>
  <c r="E92" i="14"/>
  <c r="E96" i="14"/>
  <c r="E102" i="14"/>
  <c r="E106" i="14"/>
  <c r="E110" i="14"/>
  <c r="E114" i="14"/>
  <c r="E118" i="14"/>
  <c r="E11" i="14"/>
  <c r="E19" i="14"/>
  <c r="E26" i="14"/>
  <c r="E30" i="14"/>
  <c r="E36" i="14"/>
  <c r="E40" i="14"/>
  <c r="E44" i="14"/>
  <c r="E54" i="14"/>
  <c r="E58" i="14"/>
  <c r="E62" i="14"/>
  <c r="E68" i="14"/>
  <c r="E79" i="14"/>
  <c r="E94" i="14"/>
  <c r="E100" i="14"/>
  <c r="E104" i="14"/>
  <c r="E108" i="14"/>
  <c r="E112" i="14"/>
  <c r="E116" i="14"/>
  <c r="E131" i="14"/>
  <c r="E137" i="14"/>
  <c r="D20" i="14"/>
  <c r="D24" i="14" s="1"/>
  <c r="C32" i="14"/>
  <c r="E14" i="14"/>
  <c r="E28" i="14"/>
  <c r="E34" i="14"/>
  <c r="E38" i="14"/>
  <c r="E42" i="14"/>
  <c r="E46" i="14"/>
  <c r="E135" i="14"/>
  <c r="C20" i="14"/>
  <c r="C24" i="14" s="1"/>
  <c r="C119" i="14"/>
  <c r="E52" i="14"/>
  <c r="E73" i="14"/>
  <c r="E76" i="14"/>
  <c r="E69" i="14"/>
  <c r="C66" i="14"/>
  <c r="C49" i="14"/>
  <c r="E13" i="14"/>
  <c r="E9" i="14"/>
  <c r="E125" i="14"/>
  <c r="C90" i="15"/>
  <c r="C97" i="15" s="1"/>
  <c r="C122" i="15" s="1"/>
  <c r="D90" i="15"/>
  <c r="D97" i="15" s="1"/>
  <c r="D122" i="15" s="1"/>
  <c r="D124" i="15"/>
  <c r="D129" i="15" s="1"/>
  <c r="D133" i="15" l="1"/>
  <c r="D140" i="15" s="1"/>
  <c r="E90" i="15"/>
  <c r="E97" i="15" s="1"/>
  <c r="E88" i="14"/>
  <c r="E127" i="14"/>
  <c r="D90" i="14"/>
  <c r="D97" i="14" s="1"/>
  <c r="E119" i="14"/>
  <c r="C90" i="14"/>
  <c r="E32" i="14"/>
  <c r="E66" i="14"/>
  <c r="E49" i="14"/>
  <c r="E20" i="14"/>
  <c r="E24" i="14" s="1"/>
  <c r="C124" i="15"/>
  <c r="C129" i="15" s="1"/>
  <c r="C133" i="15" l="1"/>
  <c r="C140" i="15" s="1"/>
  <c r="D122" i="14"/>
  <c r="D124" i="14" s="1"/>
  <c r="D129" i="14" s="1"/>
  <c r="E122" i="15"/>
  <c r="E124" i="15" s="1"/>
  <c r="E129" i="15" s="1"/>
  <c r="E90" i="14"/>
  <c r="E97" i="14" s="1"/>
  <c r="C97" i="14"/>
  <c r="E7" i="43"/>
  <c r="B3" i="43"/>
  <c r="B2" i="43"/>
  <c r="U5" i="43"/>
  <c r="T5" i="43" s="1"/>
  <c r="S5" i="43" s="1"/>
  <c r="Q5" i="43" s="1"/>
  <c r="I7" i="43"/>
  <c r="M7" i="43"/>
  <c r="Q7" i="43"/>
  <c r="S7" i="43"/>
  <c r="T7" i="43"/>
  <c r="E8" i="43"/>
  <c r="I8" i="43"/>
  <c r="M8" i="43"/>
  <c r="Q8" i="43"/>
  <c r="S8" i="43"/>
  <c r="T8" i="43"/>
  <c r="E9" i="43"/>
  <c r="I9" i="43"/>
  <c r="M9" i="43"/>
  <c r="Q9" i="43"/>
  <c r="S9" i="43"/>
  <c r="T9" i="43"/>
  <c r="E11" i="43"/>
  <c r="I11" i="43"/>
  <c r="M11" i="43"/>
  <c r="Q11" i="43"/>
  <c r="S11" i="43"/>
  <c r="T11" i="43"/>
  <c r="E12" i="43"/>
  <c r="I12" i="43"/>
  <c r="M12" i="43"/>
  <c r="Q12" i="43"/>
  <c r="S12" i="43"/>
  <c r="T12" i="43"/>
  <c r="E13" i="43"/>
  <c r="I13" i="43"/>
  <c r="M13" i="43"/>
  <c r="Q13" i="43"/>
  <c r="S13" i="43"/>
  <c r="T13" i="43"/>
  <c r="E14" i="43"/>
  <c r="I14" i="43"/>
  <c r="M14" i="43"/>
  <c r="Q14" i="43"/>
  <c r="S14" i="43"/>
  <c r="T14" i="43"/>
  <c r="E15" i="43"/>
  <c r="I15" i="43"/>
  <c r="M15" i="43"/>
  <c r="Q15" i="43"/>
  <c r="S15" i="43"/>
  <c r="T15" i="43"/>
  <c r="E16" i="43"/>
  <c r="I16" i="43"/>
  <c r="M16" i="43"/>
  <c r="Q16" i="43"/>
  <c r="S16" i="43"/>
  <c r="T16" i="43"/>
  <c r="E17" i="43"/>
  <c r="I17" i="43"/>
  <c r="M17" i="43"/>
  <c r="Q17" i="43"/>
  <c r="S17" i="43"/>
  <c r="T17" i="43"/>
  <c r="D18" i="43"/>
  <c r="D22" i="43" s="1"/>
  <c r="G18" i="43"/>
  <c r="H18" i="43"/>
  <c r="H22" i="43" s="1"/>
  <c r="K18" i="43"/>
  <c r="K22" i="43" s="1"/>
  <c r="L18" i="43"/>
  <c r="L22" i="43" s="1"/>
  <c r="O18" i="43"/>
  <c r="O22" i="43" s="1"/>
  <c r="P18" i="43"/>
  <c r="E19" i="43"/>
  <c r="I19" i="43"/>
  <c r="M19" i="43"/>
  <c r="Q19" i="43"/>
  <c r="S19" i="43"/>
  <c r="T19" i="43"/>
  <c r="E20" i="43"/>
  <c r="I20" i="43"/>
  <c r="M20" i="43"/>
  <c r="Q20" i="43"/>
  <c r="S20" i="43"/>
  <c r="T20" i="43"/>
  <c r="E21" i="43"/>
  <c r="I21" i="43"/>
  <c r="M21" i="43"/>
  <c r="Q21" i="43"/>
  <c r="S21" i="43"/>
  <c r="T21" i="43"/>
  <c r="E24" i="43"/>
  <c r="I24" i="43"/>
  <c r="M24" i="43"/>
  <c r="Q24" i="43"/>
  <c r="S24" i="43"/>
  <c r="T24" i="43"/>
  <c r="E25" i="43"/>
  <c r="I25" i="43"/>
  <c r="M25" i="43"/>
  <c r="Q25" i="43"/>
  <c r="S25" i="43"/>
  <c r="T25" i="43"/>
  <c r="E26" i="43"/>
  <c r="I26" i="43"/>
  <c r="M26" i="43"/>
  <c r="Q26" i="43"/>
  <c r="S26" i="43"/>
  <c r="T26" i="43"/>
  <c r="E27" i="43"/>
  <c r="I27" i="43"/>
  <c r="M27" i="43"/>
  <c r="Q27" i="43"/>
  <c r="S27" i="43"/>
  <c r="T27" i="43"/>
  <c r="E28" i="43"/>
  <c r="I28" i="43"/>
  <c r="M28" i="43"/>
  <c r="Q28" i="43"/>
  <c r="S28" i="43"/>
  <c r="T28" i="43"/>
  <c r="E29" i="43"/>
  <c r="I29" i="43"/>
  <c r="M29" i="43"/>
  <c r="Q29" i="43"/>
  <c r="S29" i="43"/>
  <c r="T29" i="43"/>
  <c r="D30" i="43"/>
  <c r="E30" i="43" s="1"/>
  <c r="G30" i="43"/>
  <c r="H30" i="43"/>
  <c r="K30" i="43"/>
  <c r="L30" i="43"/>
  <c r="O30" i="43"/>
  <c r="P30" i="43"/>
  <c r="E32" i="43"/>
  <c r="I32" i="43"/>
  <c r="M32" i="43"/>
  <c r="Q32" i="43"/>
  <c r="S32" i="43"/>
  <c r="T32" i="43"/>
  <c r="E33" i="43"/>
  <c r="I33" i="43"/>
  <c r="M33" i="43"/>
  <c r="Q33" i="43"/>
  <c r="S33" i="43"/>
  <c r="T33" i="43"/>
  <c r="E34" i="43"/>
  <c r="I34" i="43"/>
  <c r="M34" i="43"/>
  <c r="Q34" i="43"/>
  <c r="S34" i="43"/>
  <c r="T34" i="43"/>
  <c r="E35" i="43"/>
  <c r="I35" i="43"/>
  <c r="M35" i="43"/>
  <c r="Q35" i="43"/>
  <c r="S35" i="43"/>
  <c r="T35" i="43"/>
  <c r="E36" i="43"/>
  <c r="I36" i="43"/>
  <c r="M36" i="43"/>
  <c r="Q36" i="43"/>
  <c r="S36" i="43"/>
  <c r="T36" i="43"/>
  <c r="E37" i="43"/>
  <c r="I37" i="43"/>
  <c r="M37" i="43"/>
  <c r="Q37" i="43"/>
  <c r="S37" i="43"/>
  <c r="T37" i="43"/>
  <c r="E38" i="43"/>
  <c r="I38" i="43"/>
  <c r="M38" i="43"/>
  <c r="Q38" i="43"/>
  <c r="S38" i="43"/>
  <c r="T38" i="43"/>
  <c r="E39" i="43"/>
  <c r="I39" i="43"/>
  <c r="M39" i="43"/>
  <c r="Q39" i="43"/>
  <c r="S39" i="43"/>
  <c r="T39" i="43"/>
  <c r="E40" i="43"/>
  <c r="I40" i="43"/>
  <c r="M40" i="43"/>
  <c r="Q40" i="43"/>
  <c r="S40" i="43"/>
  <c r="T40" i="43"/>
  <c r="E41" i="43"/>
  <c r="I41" i="43"/>
  <c r="M41" i="43"/>
  <c r="Q41" i="43"/>
  <c r="S41" i="43"/>
  <c r="T41" i="43"/>
  <c r="E42" i="43"/>
  <c r="I42" i="43"/>
  <c r="M42" i="43"/>
  <c r="Q42" i="43"/>
  <c r="S42" i="43"/>
  <c r="T42" i="43"/>
  <c r="E43" i="43"/>
  <c r="I43" i="43"/>
  <c r="M43" i="43"/>
  <c r="Q43" i="43"/>
  <c r="S43" i="43"/>
  <c r="U43" i="43" s="1"/>
  <c r="T43" i="43"/>
  <c r="E44" i="43"/>
  <c r="I44" i="43"/>
  <c r="M44" i="43"/>
  <c r="Q44" i="43"/>
  <c r="S44" i="43"/>
  <c r="T44" i="43"/>
  <c r="E45" i="43"/>
  <c r="I45" i="43"/>
  <c r="M45" i="43"/>
  <c r="Q45" i="43"/>
  <c r="S45" i="43"/>
  <c r="T45" i="43"/>
  <c r="E46" i="43"/>
  <c r="I46" i="43"/>
  <c r="M46" i="43"/>
  <c r="Q46" i="43"/>
  <c r="S46" i="43"/>
  <c r="T46" i="43"/>
  <c r="C47" i="43"/>
  <c r="D47" i="43"/>
  <c r="G47" i="43"/>
  <c r="H47" i="43"/>
  <c r="K47" i="43"/>
  <c r="L47" i="43"/>
  <c r="O47" i="43"/>
  <c r="P47" i="43"/>
  <c r="E49" i="43"/>
  <c r="I49" i="43"/>
  <c r="M49" i="43"/>
  <c r="Q49" i="43"/>
  <c r="S49" i="43"/>
  <c r="T49" i="43"/>
  <c r="E50" i="43"/>
  <c r="I50" i="43"/>
  <c r="M50" i="43"/>
  <c r="Q50" i="43"/>
  <c r="S50" i="43"/>
  <c r="T50" i="43"/>
  <c r="E51" i="43"/>
  <c r="I51" i="43"/>
  <c r="M51" i="43"/>
  <c r="Q51" i="43"/>
  <c r="S51" i="43"/>
  <c r="T51" i="43"/>
  <c r="E52" i="43"/>
  <c r="I52" i="43"/>
  <c r="M52" i="43"/>
  <c r="Q52" i="43"/>
  <c r="S52" i="43"/>
  <c r="T52" i="43"/>
  <c r="E53" i="43"/>
  <c r="I53" i="43"/>
  <c r="M53" i="43"/>
  <c r="Q53" i="43"/>
  <c r="S53" i="43"/>
  <c r="T53" i="43"/>
  <c r="E54" i="43"/>
  <c r="I54" i="43"/>
  <c r="M54" i="43"/>
  <c r="Q54" i="43"/>
  <c r="S54" i="43"/>
  <c r="T54" i="43"/>
  <c r="E55" i="43"/>
  <c r="I55" i="43"/>
  <c r="M55" i="43"/>
  <c r="Q55" i="43"/>
  <c r="S55" i="43"/>
  <c r="T55" i="43"/>
  <c r="E56" i="43"/>
  <c r="I56" i="43"/>
  <c r="M56" i="43"/>
  <c r="Q56" i="43"/>
  <c r="S56" i="43"/>
  <c r="T56" i="43"/>
  <c r="E57" i="43"/>
  <c r="I57" i="43"/>
  <c r="M57" i="43"/>
  <c r="Q57" i="43"/>
  <c r="S57" i="43"/>
  <c r="T57" i="43"/>
  <c r="E58" i="43"/>
  <c r="I58" i="43"/>
  <c r="M58" i="43"/>
  <c r="Q58" i="43"/>
  <c r="S58" i="43"/>
  <c r="T58" i="43"/>
  <c r="E59" i="43"/>
  <c r="I59" i="43"/>
  <c r="M59" i="43"/>
  <c r="Q59" i="43"/>
  <c r="S59" i="43"/>
  <c r="T59" i="43"/>
  <c r="E60" i="43"/>
  <c r="I60" i="43"/>
  <c r="M60" i="43"/>
  <c r="Q60" i="43"/>
  <c r="S60" i="43"/>
  <c r="T60" i="43"/>
  <c r="E61" i="43"/>
  <c r="I61" i="43"/>
  <c r="M61" i="43"/>
  <c r="Q61" i="43"/>
  <c r="S61" i="43"/>
  <c r="T61" i="43"/>
  <c r="E62" i="43"/>
  <c r="I62" i="43"/>
  <c r="M62" i="43"/>
  <c r="Q62" i="43"/>
  <c r="S62" i="43"/>
  <c r="T62" i="43"/>
  <c r="E63" i="43"/>
  <c r="I63" i="43"/>
  <c r="M63" i="43"/>
  <c r="Q63" i="43"/>
  <c r="S63" i="43"/>
  <c r="T63" i="43"/>
  <c r="C64" i="43"/>
  <c r="D64" i="43"/>
  <c r="G64" i="43"/>
  <c r="H64" i="43"/>
  <c r="K64" i="43"/>
  <c r="L64" i="43"/>
  <c r="O64" i="43"/>
  <c r="P64" i="43"/>
  <c r="E66" i="43"/>
  <c r="I66" i="43"/>
  <c r="M66" i="43"/>
  <c r="Q66" i="43"/>
  <c r="S66" i="43"/>
  <c r="T66" i="43"/>
  <c r="E67" i="43"/>
  <c r="I67" i="43"/>
  <c r="M67" i="43"/>
  <c r="Q67" i="43"/>
  <c r="S67" i="43"/>
  <c r="T67" i="43"/>
  <c r="E68" i="43"/>
  <c r="I68" i="43"/>
  <c r="M68" i="43"/>
  <c r="Q68" i="43"/>
  <c r="S68" i="43"/>
  <c r="T68" i="43"/>
  <c r="E69" i="43"/>
  <c r="I69" i="43"/>
  <c r="M69" i="43"/>
  <c r="Q69" i="43"/>
  <c r="S69" i="43"/>
  <c r="T69" i="43"/>
  <c r="E70" i="43"/>
  <c r="I70" i="43"/>
  <c r="M70" i="43"/>
  <c r="Q70" i="43"/>
  <c r="S70" i="43"/>
  <c r="T70" i="43"/>
  <c r="E71" i="43"/>
  <c r="I71" i="43"/>
  <c r="M71" i="43"/>
  <c r="Q71" i="43"/>
  <c r="S71" i="43"/>
  <c r="T71" i="43"/>
  <c r="E72" i="43"/>
  <c r="I72" i="43"/>
  <c r="M72" i="43"/>
  <c r="Q72" i="43"/>
  <c r="S72" i="43"/>
  <c r="T72" i="43"/>
  <c r="E73" i="43"/>
  <c r="I73" i="43"/>
  <c r="M73" i="43"/>
  <c r="Q73" i="43"/>
  <c r="S73" i="43"/>
  <c r="T73" i="43"/>
  <c r="E74" i="43"/>
  <c r="I74" i="43"/>
  <c r="M74" i="43"/>
  <c r="Q74" i="43"/>
  <c r="S74" i="43"/>
  <c r="T74" i="43"/>
  <c r="E75" i="43"/>
  <c r="I75" i="43"/>
  <c r="M75" i="43"/>
  <c r="Q75" i="43"/>
  <c r="S75" i="43"/>
  <c r="T75" i="43"/>
  <c r="E76" i="43"/>
  <c r="I76" i="43"/>
  <c r="M76" i="43"/>
  <c r="Q76" i="43"/>
  <c r="S76" i="43"/>
  <c r="T76" i="43"/>
  <c r="E77" i="43"/>
  <c r="I77" i="43"/>
  <c r="M77" i="43"/>
  <c r="Q77" i="43"/>
  <c r="S77" i="43"/>
  <c r="T77" i="43"/>
  <c r="E78" i="43"/>
  <c r="I78" i="43"/>
  <c r="M78" i="43"/>
  <c r="Q78" i="43"/>
  <c r="S78" i="43"/>
  <c r="T78" i="43"/>
  <c r="E79" i="43"/>
  <c r="I79" i="43"/>
  <c r="M79" i="43"/>
  <c r="Q79" i="43"/>
  <c r="S79" i="43"/>
  <c r="T79" i="43"/>
  <c r="E80" i="43"/>
  <c r="I80" i="43"/>
  <c r="M80" i="43"/>
  <c r="Q80" i="43"/>
  <c r="S80" i="43"/>
  <c r="T80" i="43"/>
  <c r="E85" i="43"/>
  <c r="I85" i="43"/>
  <c r="M85" i="43"/>
  <c r="Q85" i="43"/>
  <c r="S85" i="43"/>
  <c r="T85" i="43"/>
  <c r="Q86" i="43"/>
  <c r="E87" i="43"/>
  <c r="I87" i="43"/>
  <c r="M87" i="43"/>
  <c r="Q87" i="43"/>
  <c r="S87" i="43"/>
  <c r="T87" i="43"/>
  <c r="E90" i="43"/>
  <c r="I90" i="43"/>
  <c r="M90" i="43"/>
  <c r="Q90" i="43"/>
  <c r="S90" i="43"/>
  <c r="T90" i="43"/>
  <c r="E91" i="43"/>
  <c r="I91" i="43"/>
  <c r="M91" i="43"/>
  <c r="Q91" i="43"/>
  <c r="S91" i="43"/>
  <c r="T91" i="43"/>
  <c r="E92" i="43"/>
  <c r="I92" i="43"/>
  <c r="M92" i="43"/>
  <c r="Q92" i="43"/>
  <c r="S92" i="43"/>
  <c r="T92" i="43"/>
  <c r="E93" i="43"/>
  <c r="I93" i="43"/>
  <c r="M93" i="43"/>
  <c r="Q93" i="43"/>
  <c r="S93" i="43"/>
  <c r="T93" i="43"/>
  <c r="E94" i="43"/>
  <c r="I94" i="43"/>
  <c r="M94" i="43"/>
  <c r="Q94" i="43"/>
  <c r="S94" i="43"/>
  <c r="T94" i="43"/>
  <c r="E97" i="43"/>
  <c r="I97" i="43"/>
  <c r="M97" i="43"/>
  <c r="Q97" i="43"/>
  <c r="S97" i="43"/>
  <c r="T97" i="43"/>
  <c r="E98" i="43"/>
  <c r="I98" i="43"/>
  <c r="M98" i="43"/>
  <c r="Q98" i="43"/>
  <c r="S98" i="43"/>
  <c r="T98" i="43"/>
  <c r="E99" i="43"/>
  <c r="I99" i="43"/>
  <c r="M99" i="43"/>
  <c r="Q99" i="43"/>
  <c r="S99" i="43"/>
  <c r="T99" i="43"/>
  <c r="E100" i="43"/>
  <c r="I100" i="43"/>
  <c r="M100" i="43"/>
  <c r="Q100" i="43"/>
  <c r="S100" i="43"/>
  <c r="T100" i="43"/>
  <c r="E101" i="43"/>
  <c r="I101" i="43"/>
  <c r="M101" i="43"/>
  <c r="Q101" i="43"/>
  <c r="S101" i="43"/>
  <c r="T101" i="43"/>
  <c r="E102" i="43"/>
  <c r="I102" i="43"/>
  <c r="M102" i="43"/>
  <c r="Q102" i="43"/>
  <c r="S102" i="43"/>
  <c r="T102" i="43"/>
  <c r="E103" i="43"/>
  <c r="I103" i="43"/>
  <c r="M103" i="43"/>
  <c r="Q103" i="43"/>
  <c r="S103" i="43"/>
  <c r="T103" i="43"/>
  <c r="E104" i="43"/>
  <c r="I104" i="43"/>
  <c r="M104" i="43"/>
  <c r="Q104" i="43"/>
  <c r="S104" i="43"/>
  <c r="T104" i="43"/>
  <c r="E105" i="43"/>
  <c r="I105" i="43"/>
  <c r="M105" i="43"/>
  <c r="Q105" i="43"/>
  <c r="S105" i="43"/>
  <c r="T105" i="43"/>
  <c r="E106" i="43"/>
  <c r="I106" i="43"/>
  <c r="M106" i="43"/>
  <c r="Q106" i="43"/>
  <c r="S106" i="43"/>
  <c r="T106" i="43"/>
  <c r="E107" i="43"/>
  <c r="I107" i="43"/>
  <c r="M107" i="43"/>
  <c r="Q107" i="43"/>
  <c r="S107" i="43"/>
  <c r="T107" i="43"/>
  <c r="E108" i="43"/>
  <c r="I108" i="43"/>
  <c r="M108" i="43"/>
  <c r="Q108" i="43"/>
  <c r="S108" i="43"/>
  <c r="T108" i="43"/>
  <c r="E109" i="43"/>
  <c r="I109" i="43"/>
  <c r="M109" i="43"/>
  <c r="Q109" i="43"/>
  <c r="S109" i="43"/>
  <c r="T109" i="43"/>
  <c r="E110" i="43"/>
  <c r="I110" i="43"/>
  <c r="M110" i="43"/>
  <c r="Q110" i="43"/>
  <c r="S110" i="43"/>
  <c r="T110" i="43"/>
  <c r="E111" i="43"/>
  <c r="I111" i="43"/>
  <c r="M111" i="43"/>
  <c r="Q111" i="43"/>
  <c r="S111" i="43"/>
  <c r="T111" i="43"/>
  <c r="E112" i="43"/>
  <c r="I112" i="43"/>
  <c r="M112" i="43"/>
  <c r="Q112" i="43"/>
  <c r="S112" i="43"/>
  <c r="T112" i="43"/>
  <c r="E113" i="43"/>
  <c r="I113" i="43"/>
  <c r="M113" i="43"/>
  <c r="Q113" i="43"/>
  <c r="S113" i="43"/>
  <c r="T113" i="43"/>
  <c r="E114" i="43"/>
  <c r="I114" i="43"/>
  <c r="M114" i="43"/>
  <c r="Q114" i="43"/>
  <c r="S114" i="43"/>
  <c r="T114" i="43"/>
  <c r="E115" i="43"/>
  <c r="I115" i="43"/>
  <c r="M115" i="43"/>
  <c r="Q115" i="43"/>
  <c r="S115" i="43"/>
  <c r="T115" i="43"/>
  <c r="E116" i="43"/>
  <c r="I116" i="43"/>
  <c r="M116" i="43"/>
  <c r="Q116" i="43"/>
  <c r="S116" i="43"/>
  <c r="T116" i="43"/>
  <c r="C117" i="43"/>
  <c r="D117" i="43"/>
  <c r="G117" i="43"/>
  <c r="H117" i="43"/>
  <c r="K117" i="43"/>
  <c r="L117" i="43"/>
  <c r="O117" i="43"/>
  <c r="P117" i="43"/>
  <c r="C123" i="43"/>
  <c r="C125" i="43" s="1"/>
  <c r="D123" i="43"/>
  <c r="D125" i="43" s="1"/>
  <c r="G123" i="43"/>
  <c r="G125" i="43" s="1"/>
  <c r="H123" i="43"/>
  <c r="H125" i="43" s="1"/>
  <c r="K123" i="43"/>
  <c r="K125" i="43" s="1"/>
  <c r="L123" i="43"/>
  <c r="O123" i="43"/>
  <c r="O125" i="43" s="1"/>
  <c r="P123" i="43"/>
  <c r="P125" i="43" s="1"/>
  <c r="E124" i="43"/>
  <c r="I124" i="43"/>
  <c r="M124" i="43"/>
  <c r="Q124" i="43"/>
  <c r="S124" i="43"/>
  <c r="T124" i="43"/>
  <c r="E129" i="43"/>
  <c r="I129" i="43"/>
  <c r="M129" i="43"/>
  <c r="Q129" i="43"/>
  <c r="S129" i="43"/>
  <c r="T129" i="43"/>
  <c r="E133" i="43"/>
  <c r="I133" i="43"/>
  <c r="M133" i="43"/>
  <c r="Q133" i="43"/>
  <c r="S133" i="43"/>
  <c r="T133" i="43"/>
  <c r="E134" i="43"/>
  <c r="I134" i="43"/>
  <c r="M134" i="43"/>
  <c r="Q134" i="43"/>
  <c r="S134" i="43"/>
  <c r="T134" i="43"/>
  <c r="E135" i="43"/>
  <c r="I135" i="43"/>
  <c r="M135" i="43"/>
  <c r="Q135" i="43"/>
  <c r="S135" i="43"/>
  <c r="T135" i="43"/>
  <c r="E136" i="43"/>
  <c r="I136" i="43"/>
  <c r="M136" i="43"/>
  <c r="Q136" i="43"/>
  <c r="S136" i="43"/>
  <c r="T136" i="43"/>
  <c r="E11" i="18"/>
  <c r="C121" i="8"/>
  <c r="H63" i="8"/>
  <c r="I63" i="8" s="1"/>
  <c r="K63" i="8" s="1"/>
  <c r="S63" i="8"/>
  <c r="H64" i="8"/>
  <c r="I64" i="8" s="1"/>
  <c r="K64" i="8" s="1"/>
  <c r="S64" i="8"/>
  <c r="H20" i="8"/>
  <c r="H11" i="8"/>
  <c r="I11" i="8" s="1"/>
  <c r="K11" i="8" s="1"/>
  <c r="S11" i="8"/>
  <c r="H12" i="8"/>
  <c r="I12" i="8" s="1"/>
  <c r="K12" i="8" s="1"/>
  <c r="S12" i="8"/>
  <c r="D133" i="14" l="1"/>
  <c r="D140" i="14" s="1"/>
  <c r="E133" i="15"/>
  <c r="E140" i="15" s="1"/>
  <c r="C122" i="14"/>
  <c r="C124" i="14" s="1"/>
  <c r="C129" i="14" s="1"/>
  <c r="E122" i="14"/>
  <c r="E124" i="14" s="1"/>
  <c r="E129" i="14" s="1"/>
  <c r="U60" i="43"/>
  <c r="Q64" i="43"/>
  <c r="U21" i="43"/>
  <c r="U57" i="43"/>
  <c r="U80" i="43"/>
  <c r="U87" i="43"/>
  <c r="U53" i="43"/>
  <c r="C88" i="43"/>
  <c r="U69" i="43"/>
  <c r="U61" i="43"/>
  <c r="U20" i="43"/>
  <c r="Q18" i="43"/>
  <c r="Q22" i="43" s="1"/>
  <c r="E117" i="43"/>
  <c r="U90" i="43"/>
  <c r="U115" i="43"/>
  <c r="U135" i="43"/>
  <c r="U129" i="43"/>
  <c r="U114" i="43"/>
  <c r="E18" i="43"/>
  <c r="E22" i="43" s="1"/>
  <c r="K88" i="43"/>
  <c r="K95" i="43" s="1"/>
  <c r="U68" i="43"/>
  <c r="U98" i="43"/>
  <c r="U92" i="43"/>
  <c r="U29" i="43"/>
  <c r="U116" i="43"/>
  <c r="U107" i="43"/>
  <c r="U93" i="43"/>
  <c r="U54" i="43"/>
  <c r="U40" i="43"/>
  <c r="U36" i="43"/>
  <c r="U26" i="43"/>
  <c r="U124" i="43"/>
  <c r="M117" i="43"/>
  <c r="U109" i="43"/>
  <c r="U101" i="43"/>
  <c r="T86" i="43"/>
  <c r="U72" i="43"/>
  <c r="U56" i="43"/>
  <c r="U46" i="43"/>
  <c r="U8" i="43"/>
  <c r="U100" i="43"/>
  <c r="U85" i="43"/>
  <c r="U70" i="43"/>
  <c r="U39" i="43"/>
  <c r="U35" i="43"/>
  <c r="Q30" i="43"/>
  <c r="U113" i="43"/>
  <c r="U97" i="43"/>
  <c r="U91" i="43"/>
  <c r="U14" i="43"/>
  <c r="U59" i="43"/>
  <c r="U51" i="43"/>
  <c r="U110" i="43"/>
  <c r="U106" i="43"/>
  <c r="U102" i="43"/>
  <c r="I86" i="43"/>
  <c r="U33" i="43"/>
  <c r="U99" i="43"/>
  <c r="U67" i="43"/>
  <c r="M123" i="43"/>
  <c r="U105" i="43"/>
  <c r="U94" i="43"/>
  <c r="U52" i="43"/>
  <c r="U37" i="43"/>
  <c r="Q125" i="43"/>
  <c r="U75" i="43"/>
  <c r="U25" i="43"/>
  <c r="U17" i="43"/>
  <c r="U9" i="43"/>
  <c r="T123" i="43"/>
  <c r="U76" i="43"/>
  <c r="E64" i="43"/>
  <c r="Q47" i="43"/>
  <c r="U42" i="43"/>
  <c r="U38" i="43"/>
  <c r="L88" i="43"/>
  <c r="L95" i="43" s="1"/>
  <c r="U136" i="43"/>
  <c r="U111" i="43"/>
  <c r="M86" i="43"/>
  <c r="U77" i="43"/>
  <c r="U34" i="43"/>
  <c r="U27" i="43"/>
  <c r="U12" i="43"/>
  <c r="T30" i="43"/>
  <c r="I117" i="43"/>
  <c r="U112" i="43"/>
  <c r="U71" i="43"/>
  <c r="U66" i="43"/>
  <c r="U55" i="43"/>
  <c r="U50" i="43"/>
  <c r="U44" i="43"/>
  <c r="U49" i="43"/>
  <c r="I18" i="43"/>
  <c r="I22" i="43" s="1"/>
  <c r="Q123" i="43"/>
  <c r="T47" i="43"/>
  <c r="U108" i="43"/>
  <c r="M64" i="43"/>
  <c r="U58" i="43"/>
  <c r="S47" i="43"/>
  <c r="U45" i="43"/>
  <c r="I30" i="43"/>
  <c r="I64" i="43"/>
  <c r="Q117" i="43"/>
  <c r="T117" i="43"/>
  <c r="U103" i="43"/>
  <c r="U79" i="43"/>
  <c r="U73" i="43"/>
  <c r="M47" i="43"/>
  <c r="U41" i="43"/>
  <c r="P88" i="43"/>
  <c r="P95" i="43" s="1"/>
  <c r="P120" i="43" s="1"/>
  <c r="S30" i="43"/>
  <c r="U28" i="43"/>
  <c r="P22" i="43"/>
  <c r="T22" i="43" s="1"/>
  <c r="U15" i="43"/>
  <c r="U133" i="43"/>
  <c r="H88" i="43"/>
  <c r="H95" i="43" s="1"/>
  <c r="U11" i="43"/>
  <c r="U134" i="43"/>
  <c r="L125" i="43"/>
  <c r="M125" i="43" s="1"/>
  <c r="S117" i="43"/>
  <c r="T64" i="43"/>
  <c r="O88" i="43"/>
  <c r="O95" i="43" s="1"/>
  <c r="O120" i="43" s="1"/>
  <c r="U78" i="43"/>
  <c r="I123" i="43"/>
  <c r="U104" i="43"/>
  <c r="E86" i="43"/>
  <c r="U74" i="43"/>
  <c r="S64" i="43"/>
  <c r="U64" i="43" s="1"/>
  <c r="U62" i="43"/>
  <c r="I47" i="43"/>
  <c r="U32" i="43"/>
  <c r="U16" i="43"/>
  <c r="U7" i="43"/>
  <c r="S123" i="43"/>
  <c r="U63" i="43"/>
  <c r="E47" i="43"/>
  <c r="M30" i="43"/>
  <c r="U24" i="43"/>
  <c r="G22" i="43"/>
  <c r="U19" i="43"/>
  <c r="M18" i="43"/>
  <c r="M22" i="43" s="1"/>
  <c r="U13" i="43"/>
  <c r="I125" i="43"/>
  <c r="E125" i="43"/>
  <c r="S125" i="43"/>
  <c r="M5" i="43"/>
  <c r="P5" i="43"/>
  <c r="O5" i="43" s="1"/>
  <c r="T18" i="43"/>
  <c r="E123" i="43"/>
  <c r="G88" i="43"/>
  <c r="G95" i="43" s="1"/>
  <c r="G120" i="43" s="1"/>
  <c r="S18" i="43"/>
  <c r="D88" i="43"/>
  <c r="H27" i="38"/>
  <c r="H77" i="38"/>
  <c r="H54" i="38"/>
  <c r="L46" i="38"/>
  <c r="O46" i="38" s="1"/>
  <c r="N27" i="38"/>
  <c r="M27" i="38"/>
  <c r="K27" i="38"/>
  <c r="L27" i="38" s="1"/>
  <c r="O27" i="38" s="1"/>
  <c r="J27" i="38"/>
  <c r="I27" i="38"/>
  <c r="L26" i="38"/>
  <c r="O26" i="38" s="1"/>
  <c r="C133" i="14" l="1"/>
  <c r="C140" i="14" s="1"/>
  <c r="E133" i="14"/>
  <c r="E140" i="14" s="1"/>
  <c r="E43" i="28" s="1"/>
  <c r="K120" i="43"/>
  <c r="K122" i="43" s="1"/>
  <c r="K127" i="43" s="1"/>
  <c r="L120" i="43"/>
  <c r="L122" i="43" s="1"/>
  <c r="L127" i="43" s="1"/>
  <c r="H120" i="43"/>
  <c r="H122" i="43" s="1"/>
  <c r="H127" i="43" s="1"/>
  <c r="S88" i="43"/>
  <c r="U86" i="43"/>
  <c r="M95" i="43"/>
  <c r="U18" i="43"/>
  <c r="U30" i="43"/>
  <c r="Q95" i="43"/>
  <c r="U47" i="43"/>
  <c r="Q88" i="43"/>
  <c r="U123" i="43"/>
  <c r="P122" i="43"/>
  <c r="P127" i="43" s="1"/>
  <c r="T125" i="43"/>
  <c r="U125" i="43" s="1"/>
  <c r="E88" i="43"/>
  <c r="U117" i="43"/>
  <c r="O122" i="43"/>
  <c r="O127" i="43" s="1"/>
  <c r="M88" i="43"/>
  <c r="I88" i="43"/>
  <c r="C95" i="43"/>
  <c r="T88" i="43"/>
  <c r="D95" i="43"/>
  <c r="D120" i="43" s="1"/>
  <c r="S22" i="43"/>
  <c r="U22" i="43" s="1"/>
  <c r="G122" i="43"/>
  <c r="G127" i="43" s="1"/>
  <c r="I95" i="43"/>
  <c r="I5" i="43"/>
  <c r="L5" i="43"/>
  <c r="K5" i="43" s="1"/>
  <c r="G138" i="43" l="1"/>
  <c r="G131" i="43"/>
  <c r="O131" i="43"/>
  <c r="O138" i="43" s="1"/>
  <c r="L131" i="43"/>
  <c r="L138" i="43" s="1"/>
  <c r="H131" i="43"/>
  <c r="H138" i="43" s="1"/>
  <c r="P138" i="43"/>
  <c r="P131" i="43"/>
  <c r="K131" i="43"/>
  <c r="K138" i="43" s="1"/>
  <c r="M122" i="43"/>
  <c r="M127" i="43" s="1"/>
  <c r="M120" i="43"/>
  <c r="I120" i="43"/>
  <c r="I122" i="43" s="1"/>
  <c r="I127" i="43" s="1"/>
  <c r="S95" i="43"/>
  <c r="S120" i="43" s="1"/>
  <c r="C120" i="43"/>
  <c r="Q120" i="43"/>
  <c r="Q122" i="43" s="1"/>
  <c r="Q127" i="43" s="1"/>
  <c r="U88" i="43"/>
  <c r="T95" i="43"/>
  <c r="T120" i="43" s="1"/>
  <c r="E95" i="43"/>
  <c r="C122" i="43"/>
  <c r="E5" i="43"/>
  <c r="H5" i="43"/>
  <c r="G5" i="43" s="1"/>
  <c r="I13" i="39"/>
  <c r="H13" i="39"/>
  <c r="F13" i="39"/>
  <c r="E13" i="39"/>
  <c r="D13" i="39"/>
  <c r="C13" i="39"/>
  <c r="C8" i="39"/>
  <c r="B3" i="38"/>
  <c r="B4" i="39" s="1"/>
  <c r="Q131" i="43" l="1"/>
  <c r="Q138" i="43" s="1"/>
  <c r="I131" i="43"/>
  <c r="I138" i="43" s="1"/>
  <c r="M131" i="43"/>
  <c r="M138" i="43" s="1"/>
  <c r="E120" i="43"/>
  <c r="E122" i="43" s="1"/>
  <c r="E127" i="43" s="1"/>
  <c r="E131" i="43" s="1"/>
  <c r="D43" i="28" a="1"/>
  <c r="D43" i="28" s="1"/>
  <c r="D28" i="22" a="1"/>
  <c r="D28" i="22" s="1"/>
  <c r="D29" i="22" a="1"/>
  <c r="D29" i="22" s="1"/>
  <c r="D31" i="22" a="1"/>
  <c r="D31" i="22" s="1"/>
  <c r="D26" i="22" a="1"/>
  <c r="D26" i="22" s="1"/>
  <c r="D27" i="22" a="1"/>
  <c r="D27" i="22" s="1"/>
  <c r="D5" i="43"/>
  <c r="C5" i="43" s="1"/>
  <c r="U95" i="43"/>
  <c r="U120" i="43" s="1"/>
  <c r="D122" i="43"/>
  <c r="K5" i="38"/>
  <c r="L5" i="38"/>
  <c r="C24" i="26"/>
  <c r="C27" i="26" s="1"/>
  <c r="L47" i="38"/>
  <c r="O47" i="38" s="1"/>
  <c r="E138" i="43" l="1"/>
  <c r="G79" i="18" a="1"/>
  <c r="G79" i="18" s="1"/>
  <c r="H79" i="18" s="1"/>
  <c r="T122" i="43"/>
  <c r="D127" i="43"/>
  <c r="D131" i="43" s="1"/>
  <c r="S122" i="43"/>
  <c r="C127" i="43"/>
  <c r="C131" i="43" s="1"/>
  <c r="F7" i="39"/>
  <c r="J5" i="38"/>
  <c r="G7" i="39"/>
  <c r="O5" i="38"/>
  <c r="J7" i="39" s="1"/>
  <c r="P14" i="4"/>
  <c r="U122" i="43" l="1"/>
  <c r="D138" i="43"/>
  <c r="T127" i="43"/>
  <c r="S127" i="43"/>
  <c r="S131" i="43" s="1"/>
  <c r="C138" i="43"/>
  <c r="I5" i="38"/>
  <c r="E7" i="39"/>
  <c r="D19" i="39"/>
  <c r="E19" i="39"/>
  <c r="F19" i="39"/>
  <c r="C19" i="39"/>
  <c r="T131" i="43" l="1"/>
  <c r="T138" i="43" s="1"/>
  <c r="S138" i="43"/>
  <c r="U127" i="43"/>
  <c r="H5" i="38"/>
  <c r="C7" i="39" s="1"/>
  <c r="D7" i="39"/>
  <c r="H21" i="22"/>
  <c r="J21" i="22"/>
  <c r="I16" i="22"/>
  <c r="I20" i="22" s="1"/>
  <c r="H16" i="22"/>
  <c r="H20" i="22" s="1"/>
  <c r="G16" i="22"/>
  <c r="G20" i="22" s="1"/>
  <c r="G21" i="22" s="1"/>
  <c r="F16" i="22"/>
  <c r="F20" i="22" s="1"/>
  <c r="F21" i="22" s="1"/>
  <c r="E16" i="22"/>
  <c r="E20" i="22" s="1"/>
  <c r="E21" i="22" s="1"/>
  <c r="D16" i="22"/>
  <c r="D20" i="22" s="1"/>
  <c r="D21" i="22" s="1"/>
  <c r="C16" i="22"/>
  <c r="B16" i="22"/>
  <c r="I21" i="22" l="1"/>
  <c r="K20" i="22"/>
  <c r="U131" i="43"/>
  <c r="U138" i="43" s="1"/>
  <c r="K16" i="22"/>
  <c r="C20" i="22"/>
  <c r="C21" i="22" s="1"/>
  <c r="B20" i="22"/>
  <c r="B21" i="22" l="1"/>
  <c r="D34" i="22"/>
  <c r="K21" i="22"/>
  <c r="D40" i="22" s="1"/>
  <c r="K14" i="22"/>
  <c r="K13" i="22"/>
  <c r="K12" i="22"/>
  <c r="K11" i="22"/>
  <c r="K10" i="22"/>
  <c r="K9" i="22"/>
  <c r="K8" i="22"/>
  <c r="K7" i="22"/>
  <c r="B3" i="7" l="1"/>
  <c r="B3" i="8" s="1"/>
  <c r="P17" i="4"/>
  <c r="P15" i="4"/>
  <c r="P13" i="4"/>
  <c r="P12" i="4"/>
  <c r="I12" i="4"/>
  <c r="B4" i="29"/>
  <c r="H12" i="4" l="1"/>
  <c r="J12" i="4" s="1"/>
  <c r="L12" i="4" s="1"/>
  <c r="N12" i="4" s="1"/>
  <c r="B3" i="42"/>
  <c r="D3" i="29"/>
  <c r="F5" i="29" s="1"/>
  <c r="E5" i="29" s="1"/>
  <c r="D5" i="29" s="1"/>
  <c r="C5" i="29" s="1"/>
  <c r="D50" i="27" s="1" a="1"/>
  <c r="D50" i="27" s="1"/>
  <c r="E40" i="21" l="1" a="1"/>
  <c r="E40" i="21" s="1"/>
  <c r="D39" i="27" a="1"/>
  <c r="D39" i="27" s="1"/>
  <c r="E17" i="21" a="1"/>
  <c r="E17" i="21" s="1"/>
  <c r="E36" i="20" a="1"/>
  <c r="E36" i="20" s="1"/>
  <c r="E30" i="20" a="1"/>
  <c r="E30" i="20" s="1"/>
  <c r="E38" i="19" a="1"/>
  <c r="E38" i="19" s="1"/>
  <c r="D73" i="27" a="1"/>
  <c r="D73" i="27" s="1"/>
  <c r="D39" i="22" a="1"/>
  <c r="D39" i="22" s="1"/>
  <c r="P18" i="4"/>
  <c r="P19" i="4" s="1"/>
  <c r="P21" i="4" s="1"/>
  <c r="E45" i="19" l="1"/>
  <c r="D33" i="28" s="1"/>
  <c r="D74" i="27"/>
  <c r="E37" i="20"/>
  <c r="D34" i="28" s="1"/>
  <c r="H111" i="8"/>
  <c r="H110" i="8"/>
  <c r="H109" i="8"/>
  <c r="H108" i="8"/>
  <c r="H107" i="8"/>
  <c r="H106" i="8"/>
  <c r="H105" i="8"/>
  <c r="H104" i="8"/>
  <c r="H103" i="8"/>
  <c r="H102" i="8"/>
  <c r="H101" i="8"/>
  <c r="H100" i="8"/>
  <c r="H99" i="8"/>
  <c r="H98" i="8"/>
  <c r="H97" i="8"/>
  <c r="H96" i="8"/>
  <c r="H95" i="8"/>
  <c r="H94" i="8"/>
  <c r="H93" i="8"/>
  <c r="H90" i="8"/>
  <c r="H89" i="8"/>
  <c r="H88" i="8"/>
  <c r="H87" i="8"/>
  <c r="H86" i="8"/>
  <c r="H83" i="8"/>
  <c r="H76" i="8"/>
  <c r="H75" i="8"/>
  <c r="H74" i="8"/>
  <c r="H73" i="8"/>
  <c r="H72" i="8"/>
  <c r="H71" i="8"/>
  <c r="H70" i="8"/>
  <c r="H69" i="8"/>
  <c r="H68" i="8"/>
  <c r="H67" i="8"/>
  <c r="H66" i="8"/>
  <c r="H65" i="8"/>
  <c r="H62" i="8"/>
  <c r="H59" i="8"/>
  <c r="H58" i="8"/>
  <c r="H57" i="8"/>
  <c r="H56" i="8"/>
  <c r="H55" i="8"/>
  <c r="H54" i="8"/>
  <c r="H53" i="8"/>
  <c r="H52" i="8"/>
  <c r="H51" i="8"/>
  <c r="H50" i="8"/>
  <c r="H49" i="8"/>
  <c r="H48" i="8"/>
  <c r="H47" i="8"/>
  <c r="H46" i="8"/>
  <c r="H45" i="8"/>
  <c r="H42" i="8"/>
  <c r="H41" i="8"/>
  <c r="H40" i="8"/>
  <c r="H39" i="8"/>
  <c r="H38" i="8"/>
  <c r="H37" i="8"/>
  <c r="H36" i="8"/>
  <c r="H35" i="8"/>
  <c r="H34" i="8"/>
  <c r="H33" i="8"/>
  <c r="H32" i="8"/>
  <c r="H31" i="8"/>
  <c r="H30" i="8"/>
  <c r="H29" i="8"/>
  <c r="H28" i="8"/>
  <c r="H25" i="8"/>
  <c r="H24" i="8"/>
  <c r="H23" i="8"/>
  <c r="H22" i="8"/>
  <c r="H21" i="8"/>
  <c r="H17" i="8"/>
  <c r="H16" i="8"/>
  <c r="H119" i="8" s="1"/>
  <c r="H13" i="8"/>
  <c r="I13" i="8" s="1"/>
  <c r="H10" i="8"/>
  <c r="H9" i="8"/>
  <c r="H8" i="8"/>
  <c r="H82" i="8" l="1"/>
  <c r="D32" i="28"/>
  <c r="C2" i="41"/>
  <c r="F75" i="41"/>
  <c r="E75" i="41"/>
  <c r="D75" i="41"/>
  <c r="C75" i="41"/>
  <c r="G74" i="41"/>
  <c r="G73" i="41"/>
  <c r="G72" i="41"/>
  <c r="G71" i="41"/>
  <c r="G70" i="41"/>
  <c r="G69" i="41"/>
  <c r="G68" i="41"/>
  <c r="G67" i="41"/>
  <c r="G66" i="41"/>
  <c r="G65" i="41"/>
  <c r="G64" i="41"/>
  <c r="G63" i="41"/>
  <c r="G62" i="41"/>
  <c r="G61" i="41"/>
  <c r="G60" i="41"/>
  <c r="G59" i="41"/>
  <c r="G58" i="41"/>
  <c r="G57" i="41"/>
  <c r="G56" i="41"/>
  <c r="G55" i="41"/>
  <c r="G51" i="41"/>
  <c r="F51" i="41"/>
  <c r="E51" i="41"/>
  <c r="D51" i="41"/>
  <c r="H50" i="41"/>
  <c r="H49" i="41"/>
  <c r="H48" i="41"/>
  <c r="H47" i="41"/>
  <c r="H46" i="41"/>
  <c r="H45" i="41"/>
  <c r="H44" i="41"/>
  <c r="H43" i="41"/>
  <c r="H42" i="41"/>
  <c r="H41" i="41"/>
  <c r="H40" i="41"/>
  <c r="H39" i="41"/>
  <c r="H38" i="41"/>
  <c r="H37" i="41"/>
  <c r="H36" i="41"/>
  <c r="H35" i="41"/>
  <c r="H34" i="41"/>
  <c r="H33" i="41"/>
  <c r="H32" i="41"/>
  <c r="H31" i="41"/>
  <c r="I27" i="41"/>
  <c r="H27" i="41"/>
  <c r="G27" i="41"/>
  <c r="F27" i="41"/>
  <c r="J26" i="41"/>
  <c r="J25" i="41"/>
  <c r="J24" i="41"/>
  <c r="J23" i="41"/>
  <c r="J22" i="41"/>
  <c r="J21" i="41"/>
  <c r="J20" i="41"/>
  <c r="J19" i="41"/>
  <c r="J18" i="41"/>
  <c r="J17" i="41"/>
  <c r="J16" i="41"/>
  <c r="J15" i="41"/>
  <c r="J14" i="41"/>
  <c r="J13" i="41"/>
  <c r="J12" i="41"/>
  <c r="J11" i="41"/>
  <c r="J10" i="41"/>
  <c r="J9" i="41"/>
  <c r="J8" i="41"/>
  <c r="J7" i="41"/>
  <c r="H51" i="41" l="1"/>
  <c r="G75" i="41"/>
  <c r="J27" i="41"/>
  <c r="A38" i="39" l="1"/>
  <c r="A37" i="39"/>
  <c r="A35" i="39"/>
  <c r="A34" i="39"/>
  <c r="A33" i="39"/>
  <c r="A32" i="39"/>
  <c r="A31" i="39"/>
  <c r="A30" i="39"/>
  <c r="A29" i="39"/>
  <c r="A28" i="39"/>
  <c r="A27" i="39"/>
  <c r="G19" i="39"/>
  <c r="G17" i="39"/>
  <c r="G16" i="39"/>
  <c r="G15" i="39"/>
  <c r="G13" i="39"/>
  <c r="J13" i="39" s="1"/>
  <c r="L88" i="38"/>
  <c r="O88" i="38" s="1"/>
  <c r="N86" i="38"/>
  <c r="M86" i="38"/>
  <c r="K86" i="38"/>
  <c r="J86" i="38"/>
  <c r="I86" i="38"/>
  <c r="H86" i="38"/>
  <c r="L85" i="38"/>
  <c r="O85" i="38" s="1"/>
  <c r="L84" i="38"/>
  <c r="O84" i="38" s="1"/>
  <c r="L83" i="38"/>
  <c r="O83" i="38" s="1"/>
  <c r="L82" i="38"/>
  <c r="O82" i="38" s="1"/>
  <c r="L81" i="38"/>
  <c r="O81" i="38" s="1"/>
  <c r="L80" i="38"/>
  <c r="O80" i="38" s="1"/>
  <c r="N77" i="38"/>
  <c r="I11" i="39" s="1"/>
  <c r="M77" i="38"/>
  <c r="H11" i="39" s="1"/>
  <c r="K77" i="38"/>
  <c r="F11" i="39" s="1"/>
  <c r="J77" i="38"/>
  <c r="E11" i="39" s="1"/>
  <c r="I77" i="38"/>
  <c r="D11" i="39" s="1"/>
  <c r="C11" i="39"/>
  <c r="L76" i="38"/>
  <c r="O76" i="38" s="1"/>
  <c r="L75" i="38"/>
  <c r="O75" i="38" s="1"/>
  <c r="L74" i="38"/>
  <c r="O74" i="38" s="1"/>
  <c r="L73" i="38"/>
  <c r="O73" i="38" s="1"/>
  <c r="L72" i="38"/>
  <c r="O72" i="38" s="1"/>
  <c r="L71" i="38"/>
  <c r="O71" i="38" s="1"/>
  <c r="L70" i="38"/>
  <c r="O70" i="38" s="1"/>
  <c r="L69" i="38"/>
  <c r="O69" i="38" s="1"/>
  <c r="L68" i="38"/>
  <c r="O68" i="38" s="1"/>
  <c r="L67" i="38"/>
  <c r="O67" i="38" s="1"/>
  <c r="L66" i="38"/>
  <c r="O66" i="38" s="1"/>
  <c r="L65" i="38"/>
  <c r="O65" i="38" s="1"/>
  <c r="L64" i="38"/>
  <c r="O64" i="38" s="1"/>
  <c r="L63" i="38"/>
  <c r="O63" i="38" s="1"/>
  <c r="L62" i="38"/>
  <c r="O62" i="38" s="1"/>
  <c r="L61" i="38"/>
  <c r="O61" i="38" s="1"/>
  <c r="L60" i="38"/>
  <c r="O60" i="38" s="1"/>
  <c r="L59" i="38"/>
  <c r="O59" i="38" s="1"/>
  <c r="L58" i="38"/>
  <c r="O58" i="38" s="1"/>
  <c r="L57" i="38"/>
  <c r="O57" i="38" s="1"/>
  <c r="N54" i="38"/>
  <c r="M54" i="38"/>
  <c r="K54" i="38"/>
  <c r="J54" i="38"/>
  <c r="I54" i="38"/>
  <c r="L53" i="38"/>
  <c r="O53" i="38" s="1"/>
  <c r="L52" i="38"/>
  <c r="O52" i="38" s="1"/>
  <c r="L51" i="38"/>
  <c r="O51" i="38" s="1"/>
  <c r="L50" i="38"/>
  <c r="O50" i="38" s="1"/>
  <c r="L49" i="38"/>
  <c r="O49" i="38" s="1"/>
  <c r="L45" i="38"/>
  <c r="O45" i="38" s="1"/>
  <c r="L44" i="38"/>
  <c r="O44" i="38" s="1"/>
  <c r="L43" i="38"/>
  <c r="O43" i="38" s="1"/>
  <c r="L42" i="38"/>
  <c r="O42" i="38" s="1"/>
  <c r="L41" i="38"/>
  <c r="O41" i="38" s="1"/>
  <c r="L40" i="38"/>
  <c r="O40" i="38" s="1"/>
  <c r="L39" i="38"/>
  <c r="O39" i="38" s="1"/>
  <c r="N35" i="38"/>
  <c r="M35" i="38"/>
  <c r="K35" i="38"/>
  <c r="J35" i="38"/>
  <c r="I35" i="38"/>
  <c r="H35" i="38"/>
  <c r="L34" i="38"/>
  <c r="O34" i="38" s="1"/>
  <c r="L33" i="38"/>
  <c r="O33" i="38" s="1"/>
  <c r="L32" i="38"/>
  <c r="O32" i="38" s="1"/>
  <c r="L31" i="38"/>
  <c r="O31" i="38" s="1"/>
  <c r="L30" i="38"/>
  <c r="O30" i="38" s="1"/>
  <c r="H97" i="38"/>
  <c r="L25" i="38"/>
  <c r="O25" i="38" s="1"/>
  <c r="L24" i="38"/>
  <c r="O24" i="38" s="1"/>
  <c r="L23" i="38"/>
  <c r="O23" i="38" s="1"/>
  <c r="L22" i="38"/>
  <c r="O22" i="38" s="1"/>
  <c r="L21" i="38"/>
  <c r="O21" i="38" s="1"/>
  <c r="L20" i="38"/>
  <c r="O20" i="38" s="1"/>
  <c r="L19" i="38"/>
  <c r="O19" i="38" s="1"/>
  <c r="L18" i="38"/>
  <c r="O18" i="38" s="1"/>
  <c r="L17" i="38"/>
  <c r="O17" i="38" s="1"/>
  <c r="L16" i="38"/>
  <c r="O16" i="38" s="1"/>
  <c r="L15" i="38"/>
  <c r="O15" i="38" s="1"/>
  <c r="L14" i="38"/>
  <c r="O14" i="38" s="1"/>
  <c r="L13" i="38"/>
  <c r="O13" i="38" s="1"/>
  <c r="L12" i="38"/>
  <c r="O12" i="38" s="1"/>
  <c r="L11" i="38"/>
  <c r="O11" i="38" s="1"/>
  <c r="L10" i="38"/>
  <c r="O10" i="38" s="1"/>
  <c r="L6" i="38"/>
  <c r="O6" i="38" s="1"/>
  <c r="G11" i="39" l="1"/>
  <c r="J11" i="39" s="1"/>
  <c r="M97" i="38"/>
  <c r="H8" i="39"/>
  <c r="I98" i="38"/>
  <c r="D9" i="39"/>
  <c r="I94" i="38"/>
  <c r="D12" i="39"/>
  <c r="J98" i="38"/>
  <c r="J99" i="38" s="1"/>
  <c r="E9" i="39"/>
  <c r="J94" i="38"/>
  <c r="E12" i="39"/>
  <c r="K98" i="38"/>
  <c r="K99" i="38" s="1"/>
  <c r="F9" i="39"/>
  <c r="I93" i="38"/>
  <c r="I95" i="38" s="1"/>
  <c r="D10" i="39"/>
  <c r="K94" i="38"/>
  <c r="L94" i="38" s="1"/>
  <c r="F12" i="39"/>
  <c r="H98" i="38"/>
  <c r="C9" i="39"/>
  <c r="N97" i="38"/>
  <c r="I8" i="39"/>
  <c r="M98" i="38"/>
  <c r="M99" i="38" s="1"/>
  <c r="H9" i="39"/>
  <c r="J93" i="38"/>
  <c r="J95" i="38" s="1"/>
  <c r="E10" i="39"/>
  <c r="M94" i="38"/>
  <c r="H12" i="39"/>
  <c r="N98" i="38"/>
  <c r="I9" i="39"/>
  <c r="K93" i="38"/>
  <c r="F10" i="39"/>
  <c r="N94" i="38"/>
  <c r="I12" i="39"/>
  <c r="K97" i="38"/>
  <c r="F8" i="39"/>
  <c r="H93" i="38"/>
  <c r="C10" i="39"/>
  <c r="I97" i="38"/>
  <c r="L97" i="38" s="1"/>
  <c r="D8" i="39"/>
  <c r="M93" i="38"/>
  <c r="M95" i="38" s="1"/>
  <c r="H10" i="39"/>
  <c r="H94" i="38"/>
  <c r="C12" i="39"/>
  <c r="J97" i="38"/>
  <c r="E8" i="39"/>
  <c r="N93" i="38"/>
  <c r="I10" i="39"/>
  <c r="L77" i="38"/>
  <c r="O77" i="38" s="1"/>
  <c r="H99" i="38"/>
  <c r="O97" i="38"/>
  <c r="L86" i="38"/>
  <c r="O86" i="38" s="1"/>
  <c r="L35" i="38"/>
  <c r="O35" i="38" s="1"/>
  <c r="O98" i="38" s="1"/>
  <c r="L54" i="38"/>
  <c r="O54" i="38" s="1"/>
  <c r="N99" i="38" l="1"/>
  <c r="N95" i="38"/>
  <c r="L98" i="38"/>
  <c r="O94" i="38"/>
  <c r="K95" i="38"/>
  <c r="K100" i="38" s="1"/>
  <c r="K101" i="38" s="1"/>
  <c r="L93" i="38"/>
  <c r="O93" i="38" s="1"/>
  <c r="H95" i="38"/>
  <c r="H100" i="38" s="1"/>
  <c r="H101" i="38" s="1"/>
  <c r="I99" i="38"/>
  <c r="I100" i="38" s="1"/>
  <c r="I101" i="38" s="1"/>
  <c r="J100" i="38"/>
  <c r="J101" i="38" s="1"/>
  <c r="G8" i="39"/>
  <c r="J8" i="39" s="1"/>
  <c r="D14" i="39"/>
  <c r="D20" i="39" s="1"/>
  <c r="G10" i="39"/>
  <c r="J10" i="39" s="1"/>
  <c r="E14" i="39"/>
  <c r="E20" i="39" s="1"/>
  <c r="G12" i="39"/>
  <c r="J12" i="39" s="1"/>
  <c r="F14" i="39"/>
  <c r="F20" i="39" s="1"/>
  <c r="C14" i="39"/>
  <c r="G9" i="39"/>
  <c r="J9" i="39" s="1"/>
  <c r="O99" i="38"/>
  <c r="J16" i="39"/>
  <c r="J17" i="39"/>
  <c r="L99" i="38" l="1"/>
  <c r="L95" i="38"/>
  <c r="C20" i="39"/>
  <c r="G20" i="39" s="1"/>
  <c r="G14" i="39"/>
  <c r="O95" i="38"/>
  <c r="J14" i="8"/>
  <c r="H14" i="8"/>
  <c r="L100" i="38" l="1"/>
  <c r="L101" i="38" s="1"/>
  <c r="O100" i="38"/>
  <c r="O101" i="38" s="1"/>
  <c r="D171" i="35" s="1"/>
  <c r="E171" i="35" s="1"/>
  <c r="J121" i="8"/>
  <c r="S119" i="8"/>
  <c r="M121" i="8"/>
  <c r="N121" i="8"/>
  <c r="O121" i="8"/>
  <c r="P121" i="8"/>
  <c r="Q121" i="8"/>
  <c r="R121" i="8"/>
  <c r="L121" i="8"/>
  <c r="S131" i="8"/>
  <c r="I131" i="8"/>
  <c r="K131" i="8" s="1"/>
  <c r="S120" i="8"/>
  <c r="H121" i="8"/>
  <c r="D121" i="8"/>
  <c r="E121" i="8"/>
  <c r="F121" i="8"/>
  <c r="G121" i="8"/>
  <c r="I120" i="8"/>
  <c r="K120" i="8" s="1"/>
  <c r="I119" i="8"/>
  <c r="K119" i="8" s="1"/>
  <c r="I62" i="7"/>
  <c r="I64" i="7" s="1"/>
  <c r="J62" i="7"/>
  <c r="J64" i="7" s="1"/>
  <c r="K62" i="7"/>
  <c r="K64" i="7" s="1"/>
  <c r="L62" i="7"/>
  <c r="L64" i="7" s="1"/>
  <c r="M62" i="7"/>
  <c r="M64" i="7" s="1"/>
  <c r="N62" i="7"/>
  <c r="N64" i="7" s="1"/>
  <c r="E63" i="7"/>
  <c r="G63" i="7" s="1"/>
  <c r="F16" i="7"/>
  <c r="D16" i="7"/>
  <c r="C16" i="7"/>
  <c r="S121" i="8" l="1"/>
  <c r="I121" i="8"/>
  <c r="K121" i="8" s="1"/>
  <c r="C75" i="18"/>
  <c r="E44" i="18"/>
  <c r="E8" i="18" l="1"/>
  <c r="I348" i="35" l="1"/>
  <c r="B5" i="29" l="1"/>
  <c r="B3" i="39" l="1"/>
  <c r="C3" i="41"/>
  <c r="I51" i="41" s="1" a="1"/>
  <c r="I51" i="41" s="1"/>
  <c r="J51" i="41" s="1"/>
  <c r="C127" i="35"/>
  <c r="C126" i="35" s="1"/>
  <c r="C123" i="35" s="1"/>
  <c r="B3" i="24"/>
  <c r="D17" i="24" s="1" a="1"/>
  <c r="D17" i="24" s="1"/>
  <c r="D13" i="37"/>
  <c r="D129" i="37" s="1" a="1"/>
  <c r="D129" i="37" s="1"/>
  <c r="B3" i="23"/>
  <c r="D13" i="36"/>
  <c r="D50" i="36" s="1" a="1"/>
  <c r="D50" i="36" s="1"/>
  <c r="B3" i="13"/>
  <c r="B6" i="15"/>
  <c r="B6" i="16"/>
  <c r="B6" i="17"/>
  <c r="D134" i="37" l="1" a="1"/>
  <c r="D134" i="37" s="1"/>
  <c r="D92" i="37" a="1"/>
  <c r="D92" i="37" s="1"/>
  <c r="D91" i="37" a="1"/>
  <c r="D91" i="37" s="1"/>
  <c r="D93" i="37" a="1"/>
  <c r="D93" i="37" s="1"/>
  <c r="D50" i="24" a="1"/>
  <c r="D50" i="24" s="1"/>
  <c r="D38" i="24" a="1"/>
  <c r="D38" i="24" s="1"/>
  <c r="H75" i="41" a="1"/>
  <c r="H75" i="41" s="1"/>
  <c r="I75" i="41" s="1"/>
  <c r="D26" i="24" a="1"/>
  <c r="D26" i="24" s="1"/>
  <c r="D11" i="24" a="1"/>
  <c r="D11" i="24" s="1"/>
  <c r="D18" i="24" s="1"/>
  <c r="D18" i="23" a="1"/>
  <c r="D18" i="23" s="1"/>
  <c r="D13" i="23" a="1"/>
  <c r="D13" i="23" s="1"/>
  <c r="D38" i="36" a="1"/>
  <c r="D38" i="36" s="1"/>
  <c r="H38" i="36" s="1"/>
  <c r="D32" i="36" a="1"/>
  <c r="D32" i="36" s="1"/>
  <c r="H32" i="36" s="1"/>
  <c r="D28" i="36" a="1"/>
  <c r="D28" i="36" s="1"/>
  <c r="D51" i="36"/>
  <c r="D74" i="36" a="1"/>
  <c r="D74" i="36" s="1"/>
  <c r="D70" i="36" a="1"/>
  <c r="D70" i="36" s="1"/>
  <c r="H70" i="36" s="1"/>
  <c r="D66" i="36" a="1"/>
  <c r="D66" i="36" s="1"/>
  <c r="D56" i="36" a="1"/>
  <c r="D56" i="36" s="1"/>
  <c r="H56" i="36" s="1"/>
  <c r="D52" i="36" a="1"/>
  <c r="D52" i="36" s="1"/>
  <c r="H52" i="36" s="1"/>
  <c r="D22" i="36" a="1"/>
  <c r="D22" i="36" s="1"/>
  <c r="H22" i="36" s="1"/>
  <c r="D18" i="36" a="1"/>
  <c r="D18" i="36" s="1"/>
  <c r="H18" i="36" s="1"/>
  <c r="D23" i="36" a="1"/>
  <c r="D23" i="36" s="1"/>
  <c r="H23" i="36" s="1"/>
  <c r="D47" i="36" a="1"/>
  <c r="D47" i="36" s="1"/>
  <c r="H47" i="36" s="1"/>
  <c r="D37" i="36" a="1"/>
  <c r="D37" i="36" s="1"/>
  <c r="H37" i="36" s="1"/>
  <c r="D31" i="36" a="1"/>
  <c r="D31" i="36" s="1"/>
  <c r="H31" i="36" s="1"/>
  <c r="D25" i="36" a="1"/>
  <c r="D25" i="36" s="1"/>
  <c r="H25" i="36" s="1"/>
  <c r="D53" i="36" a="1"/>
  <c r="D53" i="36" s="1"/>
  <c r="H53" i="36" s="1"/>
  <c r="D73" i="36" a="1"/>
  <c r="D73" i="36" s="1"/>
  <c r="D69" i="36" a="1"/>
  <c r="D69" i="36" s="1"/>
  <c r="H69" i="36" s="1"/>
  <c r="D61" i="36" a="1"/>
  <c r="D61" i="36" s="1"/>
  <c r="H61" i="36" s="1"/>
  <c r="D55" i="36" a="1"/>
  <c r="D55" i="36" s="1"/>
  <c r="H55" i="36" s="1"/>
  <c r="D21" i="36" a="1"/>
  <c r="D21" i="36" s="1"/>
  <c r="H21" i="36" s="1"/>
  <c r="D67" i="36" a="1"/>
  <c r="D67" i="36" s="1"/>
  <c r="H67" i="36" s="1"/>
  <c r="D49" i="36" a="1"/>
  <c r="D49" i="36" s="1"/>
  <c r="D41" i="36" a="1"/>
  <c r="D41" i="36" s="1"/>
  <c r="H41" i="36" s="1"/>
  <c r="D36" i="36" a="1"/>
  <c r="D36" i="36" s="1"/>
  <c r="H36" i="36" s="1"/>
  <c r="D30" i="36" a="1"/>
  <c r="D30" i="36" s="1"/>
  <c r="H30" i="36" s="1"/>
  <c r="D76" i="36" a="1"/>
  <c r="D76" i="36" s="1"/>
  <c r="H76" i="36" s="1"/>
  <c r="D59" i="36" a="1"/>
  <c r="D59" i="36" s="1"/>
  <c r="D19" i="36" a="1"/>
  <c r="D19" i="36" s="1"/>
  <c r="H19" i="36" s="1"/>
  <c r="D72" i="36" a="1"/>
  <c r="D72" i="36" s="1"/>
  <c r="D68" i="36" a="1"/>
  <c r="D68" i="36" s="1"/>
  <c r="H68" i="36" s="1"/>
  <c r="D60" i="36" a="1"/>
  <c r="D60" i="36" s="1"/>
  <c r="H60" i="36" s="1"/>
  <c r="D54" i="36" a="1"/>
  <c r="D54" i="36" s="1"/>
  <c r="H54" i="36" s="1"/>
  <c r="D24" i="36" a="1"/>
  <c r="D24" i="36" s="1"/>
  <c r="H24" i="36" s="1"/>
  <c r="D20" i="36" a="1"/>
  <c r="D20" i="36" s="1"/>
  <c r="H20" i="36" s="1"/>
  <c r="D71" i="36" a="1"/>
  <c r="D71" i="36" s="1"/>
  <c r="H71" i="36" s="1"/>
  <c r="D48" i="36" a="1"/>
  <c r="D48" i="36" s="1"/>
  <c r="H48" i="36" s="1"/>
  <c r="D39" i="36" a="1"/>
  <c r="D39" i="36" s="1"/>
  <c r="H39" i="36" s="1"/>
  <c r="D35" i="36" a="1"/>
  <c r="D35" i="36" s="1"/>
  <c r="D29" i="36" a="1"/>
  <c r="D29" i="36" s="1"/>
  <c r="H29" i="36" s="1"/>
  <c r="D17" i="36" a="1"/>
  <c r="D17" i="36" s="1"/>
  <c r="C13" i="36"/>
  <c r="C17" i="36" s="1" a="1"/>
  <c r="C17" i="36" s="1"/>
  <c r="D17" i="37" a="1"/>
  <c r="D17" i="37" s="1"/>
  <c r="H129" i="37" s="1"/>
  <c r="D143" i="37" a="1"/>
  <c r="D143" i="37" s="1"/>
  <c r="D122" i="37" a="1"/>
  <c r="D122" i="37" s="1"/>
  <c r="D114" i="37" a="1"/>
  <c r="D114" i="37" s="1"/>
  <c r="D104" i="37" a="1"/>
  <c r="D104" i="37" s="1"/>
  <c r="D89" i="37" a="1"/>
  <c r="D89" i="37" s="1"/>
  <c r="D82" i="37" a="1"/>
  <c r="D82" i="37" s="1"/>
  <c r="D72" i="37" a="1"/>
  <c r="D72" i="37" s="1"/>
  <c r="D64" i="37" a="1"/>
  <c r="D64" i="37" s="1"/>
  <c r="D55" i="37" a="1"/>
  <c r="D55" i="37" s="1"/>
  <c r="D49" i="37" a="1"/>
  <c r="D49" i="37" s="1"/>
  <c r="D39" i="37" a="1"/>
  <c r="D39" i="37" s="1"/>
  <c r="D29" i="37" a="1"/>
  <c r="D29" i="37" s="1"/>
  <c r="D21" i="37" a="1"/>
  <c r="D21" i="37" s="1"/>
  <c r="D88" i="37" a="1"/>
  <c r="D88" i="37" s="1"/>
  <c r="D48" i="37" a="1"/>
  <c r="D48" i="37" s="1"/>
  <c r="D120" i="37" a="1"/>
  <c r="D120" i="37" s="1"/>
  <c r="D70" i="37" a="1"/>
  <c r="D70" i="37" s="1"/>
  <c r="D37" i="37" a="1"/>
  <c r="D37" i="37" s="1"/>
  <c r="D119" i="37" a="1"/>
  <c r="D119" i="37" s="1"/>
  <c r="D111" i="37" a="1"/>
  <c r="D111" i="37" s="1"/>
  <c r="D101" i="37" a="1"/>
  <c r="D101" i="37" s="1"/>
  <c r="D86" i="37" a="1"/>
  <c r="D86" i="37" s="1"/>
  <c r="D79" i="37" a="1"/>
  <c r="D79" i="37" s="1"/>
  <c r="D69" i="37" a="1"/>
  <c r="D69" i="37" s="1"/>
  <c r="D61" i="37" a="1"/>
  <c r="D61" i="37" s="1"/>
  <c r="D53" i="37" a="1"/>
  <c r="D53" i="37" s="1"/>
  <c r="D46" i="37" a="1"/>
  <c r="D46" i="37" s="1"/>
  <c r="D36" i="37" a="1"/>
  <c r="D36" i="37" s="1"/>
  <c r="D25" i="37" a="1"/>
  <c r="D25" i="37" s="1"/>
  <c r="D59" i="37" a="1"/>
  <c r="D59" i="37" s="1"/>
  <c r="D44" i="37" a="1"/>
  <c r="D44" i="37" s="1"/>
  <c r="D144" i="37" a="1"/>
  <c r="D144" i="37" s="1"/>
  <c r="D107" i="37" a="1"/>
  <c r="D107" i="37" s="1"/>
  <c r="D50" i="37" a="1"/>
  <c r="D50" i="37" s="1"/>
  <c r="D22" i="37" a="1"/>
  <c r="D22" i="37" s="1"/>
  <c r="D121" i="37" a="1"/>
  <c r="D121" i="37" s="1"/>
  <c r="D71" i="37" a="1"/>
  <c r="D71" i="37" s="1"/>
  <c r="D38" i="37" a="1"/>
  <c r="D38" i="37" s="1"/>
  <c r="D102" i="37" a="1"/>
  <c r="D102" i="37" s="1"/>
  <c r="D54" i="37" a="1"/>
  <c r="D54" i="37" s="1"/>
  <c r="D126" i="37" a="1"/>
  <c r="D126" i="37" s="1"/>
  <c r="D118" i="37" a="1"/>
  <c r="D118" i="37" s="1"/>
  <c r="D110" i="37" a="1"/>
  <c r="D110" i="37" s="1"/>
  <c r="D100" i="37" a="1"/>
  <c r="D100" i="37" s="1"/>
  <c r="D85" i="37" a="1"/>
  <c r="D85" i="37" s="1"/>
  <c r="D78" i="37" a="1"/>
  <c r="D78" i="37" s="1"/>
  <c r="D68" i="37" a="1"/>
  <c r="D68" i="37" s="1"/>
  <c r="D60" i="37" a="1"/>
  <c r="D60" i="37" s="1"/>
  <c r="D45" i="37" a="1"/>
  <c r="D45" i="37" s="1"/>
  <c r="D35" i="37" a="1"/>
  <c r="D35" i="37" s="1"/>
  <c r="D24" i="37" a="1"/>
  <c r="D24" i="37" s="1"/>
  <c r="D67" i="37" a="1"/>
  <c r="D67" i="37" s="1"/>
  <c r="D34" i="37" a="1"/>
  <c r="D34" i="37" s="1"/>
  <c r="D115" i="37" a="1"/>
  <c r="D115" i="37" s="1"/>
  <c r="D73" i="37" a="1"/>
  <c r="D73" i="37" s="1"/>
  <c r="D30" i="37" a="1"/>
  <c r="D30" i="37" s="1"/>
  <c r="D103" i="37" a="1"/>
  <c r="D103" i="37" s="1"/>
  <c r="D112" i="37" a="1"/>
  <c r="D112" i="37" s="1"/>
  <c r="D62" i="37" a="1"/>
  <c r="D62" i="37" s="1"/>
  <c r="D18" i="37" a="1"/>
  <c r="D18" i="37" s="1"/>
  <c r="D146" i="37" a="1"/>
  <c r="D146" i="37" s="1"/>
  <c r="D125" i="37" a="1"/>
  <c r="D125" i="37" s="1"/>
  <c r="D117" i="37" a="1"/>
  <c r="D117" i="37" s="1"/>
  <c r="D109" i="37" a="1"/>
  <c r="D109" i="37" s="1"/>
  <c r="D97" i="37" a="1"/>
  <c r="D97" i="37" s="1"/>
  <c r="D84" i="37" a="1"/>
  <c r="D84" i="37" s="1"/>
  <c r="D77" i="37" a="1"/>
  <c r="D77" i="37" s="1"/>
  <c r="D52" i="37" a="1"/>
  <c r="D52" i="37" s="1"/>
  <c r="D56" i="37" a="1"/>
  <c r="D56" i="37" s="1"/>
  <c r="D81" i="37" a="1"/>
  <c r="D81" i="37" s="1"/>
  <c r="D19" i="37" a="1"/>
  <c r="D19" i="37" s="1"/>
  <c r="D80" i="37" a="1"/>
  <c r="D80" i="37" s="1"/>
  <c r="D26" i="37" a="1"/>
  <c r="D26" i="37" s="1"/>
  <c r="D145" i="37" a="1"/>
  <c r="D145" i="37" s="1"/>
  <c r="D124" i="37" a="1"/>
  <c r="D124" i="37" s="1"/>
  <c r="D116" i="37" a="1"/>
  <c r="D116" i="37" s="1"/>
  <c r="D108" i="37" a="1"/>
  <c r="D108" i="37" s="1"/>
  <c r="D95" i="37" a="1"/>
  <c r="D95" i="37" s="1"/>
  <c r="D83" i="37" a="1"/>
  <c r="D83" i="37" s="1"/>
  <c r="D76" i="37" a="1"/>
  <c r="D76" i="37" s="1"/>
  <c r="D66" i="37" a="1"/>
  <c r="D66" i="37" s="1"/>
  <c r="D51" i="37" a="1"/>
  <c r="D51" i="37" s="1"/>
  <c r="D43" i="37" a="1"/>
  <c r="D43" i="37" s="1"/>
  <c r="D31" i="37" a="1"/>
  <c r="D31" i="37" s="1"/>
  <c r="D23" i="37" a="1"/>
  <c r="D23" i="37" s="1"/>
  <c r="D123" i="37" a="1"/>
  <c r="D123" i="37" s="1"/>
  <c r="D90" i="37" a="1"/>
  <c r="D90" i="37" s="1"/>
  <c r="D65" i="37" a="1"/>
  <c r="D65" i="37" s="1"/>
  <c r="D42" i="37" a="1"/>
  <c r="D42" i="37" s="1"/>
  <c r="D113" i="37" a="1"/>
  <c r="D113" i="37" s="1"/>
  <c r="D63" i="37" a="1"/>
  <c r="D63" i="37" s="1"/>
  <c r="D27" i="37" a="1"/>
  <c r="D27" i="37" s="1"/>
  <c r="D139" i="37" a="1"/>
  <c r="D139" i="37" s="1"/>
  <c r="D87" i="37" a="1"/>
  <c r="D87" i="37" s="1"/>
  <c r="D47" i="37" a="1"/>
  <c r="D47" i="37" s="1"/>
  <c r="C13" i="37"/>
  <c r="C129" i="37" s="1" a="1"/>
  <c r="C129" i="37" s="1"/>
  <c r="E91" i="35"/>
  <c r="D91" i="35" s="1"/>
  <c r="E51" i="35"/>
  <c r="E56" i="35" s="1" a="1"/>
  <c r="E56" i="35" s="1"/>
  <c r="B2" i="23"/>
  <c r="B2" i="24"/>
  <c r="B2" i="22"/>
  <c r="B2" i="21"/>
  <c r="C2" i="20"/>
  <c r="B2" i="19"/>
  <c r="B2" i="27"/>
  <c r="B2" i="26"/>
  <c r="B16" i="26" s="1"/>
  <c r="B2" i="37"/>
  <c r="B2" i="36"/>
  <c r="C2" i="35"/>
  <c r="C17" i="24"/>
  <c r="D94" i="37" l="1"/>
  <c r="D96" i="37" s="1"/>
  <c r="J129" i="37"/>
  <c r="H93" i="37"/>
  <c r="H91" i="37"/>
  <c r="H92" i="37"/>
  <c r="C134" i="37" a="1"/>
  <c r="C134" i="37" s="1"/>
  <c r="C93" i="37" a="1"/>
  <c r="C93" i="37" s="1"/>
  <c r="C92" i="37" a="1"/>
  <c r="C92" i="37" s="1"/>
  <c r="C91" i="37" a="1"/>
  <c r="C91" i="37" s="1"/>
  <c r="D51" i="24"/>
  <c r="H47" i="37"/>
  <c r="H68" i="37"/>
  <c r="H123" i="37"/>
  <c r="H115" i="37"/>
  <c r="H78" i="37"/>
  <c r="H38" i="37"/>
  <c r="H69" i="37"/>
  <c r="H83" i="37"/>
  <c r="H102" i="37"/>
  <c r="H95" i="37"/>
  <c r="H23" i="37"/>
  <c r="H56" i="37"/>
  <c r="H71" i="37"/>
  <c r="H79" i="37"/>
  <c r="H64" i="37"/>
  <c r="H27" i="37"/>
  <c r="H31" i="37"/>
  <c r="H116" i="37"/>
  <c r="H52" i="37"/>
  <c r="H117" i="37"/>
  <c r="H87" i="37"/>
  <c r="H139" i="37"/>
  <c r="H108" i="37"/>
  <c r="H85" i="37"/>
  <c r="H44" i="37"/>
  <c r="H48" i="37"/>
  <c r="H63" i="37"/>
  <c r="H43" i="37"/>
  <c r="H124" i="37"/>
  <c r="H77" i="37"/>
  <c r="H62" i="37"/>
  <c r="H90" i="37"/>
  <c r="H73" i="37"/>
  <c r="H125" i="37"/>
  <c r="H113" i="37"/>
  <c r="H26" i="37"/>
  <c r="H103" i="37"/>
  <c r="H45" i="37"/>
  <c r="H126" i="37"/>
  <c r="H46" i="37"/>
  <c r="H119" i="37"/>
  <c r="H61" i="37"/>
  <c r="H81" i="37"/>
  <c r="H51" i="37"/>
  <c r="H66" i="37"/>
  <c r="H97" i="37"/>
  <c r="H65" i="37"/>
  <c r="H80" i="37"/>
  <c r="H109" i="37"/>
  <c r="H30" i="37"/>
  <c r="H60" i="37"/>
  <c r="H54" i="37"/>
  <c r="H53" i="37"/>
  <c r="D19" i="23"/>
  <c r="D35" i="28" s="1"/>
  <c r="D75" i="36"/>
  <c r="D78" i="36" s="1"/>
  <c r="H70" i="37"/>
  <c r="H24" i="37"/>
  <c r="H84" i="37"/>
  <c r="H49" i="37"/>
  <c r="H67" i="37"/>
  <c r="H110" i="37"/>
  <c r="H112" i="37"/>
  <c r="H100" i="37"/>
  <c r="H22" i="37"/>
  <c r="H35" i="37"/>
  <c r="H120" i="37"/>
  <c r="H121" i="37"/>
  <c r="H25" i="37"/>
  <c r="H118" i="37"/>
  <c r="H37" i="37"/>
  <c r="H86" i="37"/>
  <c r="H50" i="37"/>
  <c r="H101" i="37"/>
  <c r="H36" i="37"/>
  <c r="H104" i="37"/>
  <c r="H39" i="37"/>
  <c r="H114" i="37"/>
  <c r="H122" i="37"/>
  <c r="H55" i="37"/>
  <c r="H88" i="37"/>
  <c r="H111" i="37"/>
  <c r="D51" i="35"/>
  <c r="D56" i="35" s="1" a="1"/>
  <c r="D56" i="35" s="1"/>
  <c r="E52" i="35" a="1"/>
  <c r="E52" i="35" s="1"/>
  <c r="H72" i="37"/>
  <c r="H89" i="37"/>
  <c r="H66" i="36"/>
  <c r="H35" i="36"/>
  <c r="D40" i="36"/>
  <c r="D42" i="36" s="1"/>
  <c r="H59" i="36"/>
  <c r="D62" i="36"/>
  <c r="D57" i="36"/>
  <c r="C76" i="36" a="1"/>
  <c r="C76" i="36" s="1"/>
  <c r="C71" i="36" a="1"/>
  <c r="C71" i="36" s="1"/>
  <c r="C67" i="36" a="1"/>
  <c r="C67" i="36" s="1"/>
  <c r="C59" i="36" a="1"/>
  <c r="C59" i="36" s="1"/>
  <c r="C53" i="36" a="1"/>
  <c r="C53" i="36" s="1"/>
  <c r="C23" i="36" a="1"/>
  <c r="C23" i="36" s="1"/>
  <c r="C19" i="36" a="1"/>
  <c r="C19" i="36" s="1"/>
  <c r="C35" i="36" a="1"/>
  <c r="C35" i="36" s="1"/>
  <c r="C38" i="36" a="1"/>
  <c r="C38" i="36" s="1"/>
  <c r="C32" i="36" a="1"/>
  <c r="C32" i="36" s="1"/>
  <c r="C28" i="36" a="1"/>
  <c r="C28" i="36" s="1"/>
  <c r="C74" i="36" a="1"/>
  <c r="C74" i="36" s="1"/>
  <c r="C70" i="36" a="1"/>
  <c r="C70" i="36" s="1"/>
  <c r="C66" i="36" a="1"/>
  <c r="C66" i="36" s="1"/>
  <c r="C56" i="36" a="1"/>
  <c r="C56" i="36" s="1"/>
  <c r="C52" i="36" a="1"/>
  <c r="C52" i="36" s="1"/>
  <c r="C22" i="36" a="1"/>
  <c r="C22" i="36" s="1"/>
  <c r="C18" i="36" a="1"/>
  <c r="C18" i="36" s="1"/>
  <c r="C50" i="36" a="1"/>
  <c r="C50" i="36" s="1"/>
  <c r="C51" i="36" s="1"/>
  <c r="C47" i="36" a="1"/>
  <c r="C47" i="36" s="1"/>
  <c r="C37" i="36" a="1"/>
  <c r="C37" i="36" s="1"/>
  <c r="C31" i="36" a="1"/>
  <c r="C31" i="36" s="1"/>
  <c r="C39" i="36" a="1"/>
  <c r="C39" i="36" s="1"/>
  <c r="C73" i="36" a="1"/>
  <c r="C73" i="36" s="1"/>
  <c r="C69" i="36" a="1"/>
  <c r="C69" i="36" s="1"/>
  <c r="C61" i="36" a="1"/>
  <c r="C61" i="36" s="1"/>
  <c r="C55" i="36" a="1"/>
  <c r="C55" i="36" s="1"/>
  <c r="C25" i="36" a="1"/>
  <c r="C25" i="36" s="1"/>
  <c r="C21" i="36" a="1"/>
  <c r="C21" i="36" s="1"/>
  <c r="C49" i="36" a="1"/>
  <c r="C49" i="36" s="1"/>
  <c r="C41" i="36" a="1"/>
  <c r="C41" i="36" s="1"/>
  <c r="C36" i="36" a="1"/>
  <c r="C36" i="36" s="1"/>
  <c r="C30" i="36" a="1"/>
  <c r="C30" i="36" s="1"/>
  <c r="C29" i="36" a="1"/>
  <c r="C29" i="36" s="1"/>
  <c r="C72" i="36" a="1"/>
  <c r="C72" i="36" s="1"/>
  <c r="C68" i="36" a="1"/>
  <c r="C68" i="36" s="1"/>
  <c r="C60" i="36" a="1"/>
  <c r="C60" i="36" s="1"/>
  <c r="C54" i="36" a="1"/>
  <c r="C54" i="36" s="1"/>
  <c r="C24" i="36" a="1"/>
  <c r="C24" i="36" s="1"/>
  <c r="C20" i="36" a="1"/>
  <c r="C20" i="36" s="1"/>
  <c r="C48" i="36" a="1"/>
  <c r="C48" i="36" s="1"/>
  <c r="H28" i="36"/>
  <c r="D33" i="36"/>
  <c r="H21" i="37"/>
  <c r="D28" i="37"/>
  <c r="D32" i="37" s="1"/>
  <c r="F129" i="37" s="1"/>
  <c r="H29" i="37"/>
  <c r="D133" i="37"/>
  <c r="D135" i="37" s="1"/>
  <c r="H76" i="37"/>
  <c r="H107" i="37"/>
  <c r="D127" i="37"/>
  <c r="H42" i="37"/>
  <c r="D57" i="37"/>
  <c r="H34" i="37"/>
  <c r="D40" i="37"/>
  <c r="H59" i="37"/>
  <c r="D74" i="37"/>
  <c r="H82" i="37"/>
  <c r="H17" i="36"/>
  <c r="D26" i="36"/>
  <c r="C119" i="37" a="1"/>
  <c r="C119" i="37" s="1"/>
  <c r="C111" i="37" a="1"/>
  <c r="C111" i="37" s="1"/>
  <c r="C101" i="37" a="1"/>
  <c r="C101" i="37" s="1"/>
  <c r="C86" i="37" a="1"/>
  <c r="C86" i="37" s="1"/>
  <c r="C79" i="37" a="1"/>
  <c r="C79" i="37" s="1"/>
  <c r="C69" i="37" a="1"/>
  <c r="C69" i="37" s="1"/>
  <c r="C61" i="37" a="1"/>
  <c r="C61" i="37" s="1"/>
  <c r="C46" i="37" a="1"/>
  <c r="C46" i="37" s="1"/>
  <c r="C37" i="37" a="1"/>
  <c r="C37" i="37" s="1"/>
  <c r="C29" i="37" a="1"/>
  <c r="C29" i="37" s="1"/>
  <c r="C133" i="37" s="1"/>
  <c r="C21" i="37" a="1"/>
  <c r="C21" i="37" s="1"/>
  <c r="C146" i="37" a="1"/>
  <c r="C146" i="37" s="1"/>
  <c r="C126" i="37" a="1"/>
  <c r="C126" i="37" s="1"/>
  <c r="C118" i="37" a="1"/>
  <c r="C118" i="37" s="1"/>
  <c r="C110" i="37" a="1"/>
  <c r="C110" i="37" s="1"/>
  <c r="C100" i="37" a="1"/>
  <c r="C100" i="37" s="1"/>
  <c r="C85" i="37" a="1"/>
  <c r="C85" i="37" s="1"/>
  <c r="C78" i="37" a="1"/>
  <c r="C78" i="37" s="1"/>
  <c r="C68" i="37" a="1"/>
  <c r="C68" i="37" s="1"/>
  <c r="C60" i="37" a="1"/>
  <c r="C60" i="37" s="1"/>
  <c r="C27" i="37" a="1"/>
  <c r="C27" i="37" s="1"/>
  <c r="C117" i="37" a="1"/>
  <c r="C117" i="37" s="1"/>
  <c r="C84" i="37" a="1"/>
  <c r="C84" i="37" s="1"/>
  <c r="C51" i="37" a="1"/>
  <c r="C51" i="37" s="1"/>
  <c r="C144" i="37" a="1"/>
  <c r="C144" i="37" s="1"/>
  <c r="C124" i="37" a="1"/>
  <c r="C124" i="37" s="1"/>
  <c r="C116" i="37" a="1"/>
  <c r="C116" i="37" s="1"/>
  <c r="C108" i="37" a="1"/>
  <c r="C108" i="37" s="1"/>
  <c r="C95" i="37" a="1"/>
  <c r="C95" i="37" s="1"/>
  <c r="C83" i="37" a="1"/>
  <c r="C83" i="37" s="1"/>
  <c r="C76" i="37" a="1"/>
  <c r="C76" i="37" s="1"/>
  <c r="C66" i="37" a="1"/>
  <c r="C66" i="37" s="1"/>
  <c r="C50" i="37" a="1"/>
  <c r="C50" i="37" s="1"/>
  <c r="C44" i="37" a="1"/>
  <c r="C44" i="37" s="1"/>
  <c r="C34" i="37" a="1"/>
  <c r="C34" i="37" s="1"/>
  <c r="C25" i="37" a="1"/>
  <c r="C25" i="37" s="1"/>
  <c r="C17" i="37" a="1"/>
  <c r="C17" i="37" s="1"/>
  <c r="G129" i="37" s="1"/>
  <c r="I129" i="37" s="1"/>
  <c r="C120" i="37" a="1"/>
  <c r="C120" i="37" s="1"/>
  <c r="C87" i="37" a="1"/>
  <c r="C87" i="37" s="1"/>
  <c r="C62" i="37" a="1"/>
  <c r="C62" i="37" s="1"/>
  <c r="C38" i="37" a="1"/>
  <c r="C38" i="37" s="1"/>
  <c r="C45" i="37" a="1"/>
  <c r="C45" i="37" s="1"/>
  <c r="C125" i="37" a="1"/>
  <c r="C125" i="37" s="1"/>
  <c r="C67" i="37" a="1"/>
  <c r="C67" i="37" s="1"/>
  <c r="C26" i="37" a="1"/>
  <c r="C26" i="37" s="1"/>
  <c r="C143" i="37" a="1"/>
  <c r="C143" i="37" s="1"/>
  <c r="C123" i="37" a="1"/>
  <c r="C123" i="37" s="1"/>
  <c r="C115" i="37" a="1"/>
  <c r="C115" i="37" s="1"/>
  <c r="C107" i="37" a="1"/>
  <c r="C107" i="37" s="1"/>
  <c r="C90" i="37" a="1"/>
  <c r="C90" i="37" s="1"/>
  <c r="C73" i="37" a="1"/>
  <c r="C73" i="37" s="1"/>
  <c r="C65" i="37" a="1"/>
  <c r="C65" i="37" s="1"/>
  <c r="C56" i="37" a="1"/>
  <c r="C56" i="37" s="1"/>
  <c r="C49" i="37" a="1"/>
  <c r="C49" i="37" s="1"/>
  <c r="C43" i="37" a="1"/>
  <c r="C43" i="37" s="1"/>
  <c r="C24" i="37" a="1"/>
  <c r="C24" i="37" s="1"/>
  <c r="C102" i="37" a="1"/>
  <c r="C102" i="37" s="1"/>
  <c r="C70" i="37" a="1"/>
  <c r="C70" i="37" s="1"/>
  <c r="C47" i="37" a="1"/>
  <c r="C47" i="37" s="1"/>
  <c r="C19" i="37" a="1"/>
  <c r="C19" i="37" s="1"/>
  <c r="C145" i="37" a="1"/>
  <c r="C145" i="37" s="1"/>
  <c r="C97" i="37" a="1"/>
  <c r="C97" i="37" s="1"/>
  <c r="C59" i="37" a="1"/>
  <c r="C59" i="37" s="1"/>
  <c r="C35" i="37" a="1"/>
  <c r="C35" i="37" s="1"/>
  <c r="C122" i="37" a="1"/>
  <c r="C122" i="37" s="1"/>
  <c r="C114" i="37" a="1"/>
  <c r="C114" i="37" s="1"/>
  <c r="C104" i="37" a="1"/>
  <c r="C104" i="37" s="1"/>
  <c r="C89" i="37" a="1"/>
  <c r="C89" i="37" s="1"/>
  <c r="C82" i="37" a="1"/>
  <c r="C82" i="37" s="1"/>
  <c r="C72" i="37" a="1"/>
  <c r="C72" i="37" s="1"/>
  <c r="C64" i="37" a="1"/>
  <c r="C64" i="37" s="1"/>
  <c r="C55" i="37" a="1"/>
  <c r="C55" i="37" s="1"/>
  <c r="C42" i="37" a="1"/>
  <c r="C42" i="37" s="1"/>
  <c r="C31" i="37" a="1"/>
  <c r="C31" i="37" s="1"/>
  <c r="C22" i="37" a="1"/>
  <c r="C22" i="37" s="1"/>
  <c r="C36" i="37" a="1"/>
  <c r="C36" i="37" s="1"/>
  <c r="C77" i="37" a="1"/>
  <c r="C77" i="37" s="1"/>
  <c r="C18" i="37" a="1"/>
  <c r="C18" i="37" s="1"/>
  <c r="C139" i="37" a="1"/>
  <c r="C139" i="37" s="1"/>
  <c r="C121" i="37" a="1"/>
  <c r="C121" i="37" s="1"/>
  <c r="C113" i="37" a="1"/>
  <c r="C113" i="37" s="1"/>
  <c r="C103" i="37" a="1"/>
  <c r="C103" i="37" s="1"/>
  <c r="C88" i="37" a="1"/>
  <c r="C88" i="37" s="1"/>
  <c r="C81" i="37" a="1"/>
  <c r="C81" i="37" s="1"/>
  <c r="C71" i="37" a="1"/>
  <c r="C71" i="37" s="1"/>
  <c r="C63" i="37" a="1"/>
  <c r="C63" i="37" s="1"/>
  <c r="C54" i="37" a="1"/>
  <c r="C54" i="37" s="1"/>
  <c r="C48" i="37" a="1"/>
  <c r="C48" i="37" s="1"/>
  <c r="C39" i="37" a="1"/>
  <c r="C39" i="37" s="1"/>
  <c r="C30" i="37" a="1"/>
  <c r="C30" i="37" s="1"/>
  <c r="C23" i="37" a="1"/>
  <c r="C23" i="37" s="1"/>
  <c r="C112" i="37" a="1"/>
  <c r="C112" i="37" s="1"/>
  <c r="C80" i="37" a="1"/>
  <c r="C80" i="37" s="1"/>
  <c r="C53" i="37" a="1"/>
  <c r="C53" i="37" s="1"/>
  <c r="C52" i="37" a="1"/>
  <c r="C52" i="37" s="1"/>
  <c r="C109" i="37" a="1"/>
  <c r="C109" i="37" s="1"/>
  <c r="D151" i="35"/>
  <c r="E151" i="35" s="1"/>
  <c r="B2" i="39"/>
  <c r="B2" i="38"/>
  <c r="B2" i="42"/>
  <c r="B2" i="4"/>
  <c r="B2" i="13"/>
  <c r="B2" i="18"/>
  <c r="B5" i="17"/>
  <c r="B5" i="15"/>
  <c r="B5" i="16"/>
  <c r="D45" i="19"/>
  <c r="E33" i="28" s="1"/>
  <c r="F33" i="28" s="1"/>
  <c r="C94" i="37" l="1"/>
  <c r="C96" i="37" s="1"/>
  <c r="C135" i="37"/>
  <c r="J91" i="37"/>
  <c r="G91" i="37"/>
  <c r="I91" i="37" s="1"/>
  <c r="G92" i="37"/>
  <c r="I92" i="37" s="1"/>
  <c r="J92" i="37"/>
  <c r="G93" i="37"/>
  <c r="I93" i="37" s="1"/>
  <c r="J93" i="37"/>
  <c r="F104" i="37"/>
  <c r="F93" i="37"/>
  <c r="F92" i="37"/>
  <c r="F91" i="37"/>
  <c r="F121" i="37"/>
  <c r="F55" i="37"/>
  <c r="F69" i="37"/>
  <c r="F64" i="37"/>
  <c r="F87" i="37"/>
  <c r="D44" i="36"/>
  <c r="F78" i="37"/>
  <c r="F123" i="37"/>
  <c r="F45" i="37"/>
  <c r="F47" i="37"/>
  <c r="F84" i="37"/>
  <c r="F26" i="37"/>
  <c r="F111" i="37"/>
  <c r="F71" i="37"/>
  <c r="F139" i="37"/>
  <c r="F108" i="37"/>
  <c r="F38" i="37"/>
  <c r="F90" i="37"/>
  <c r="F39" i="37"/>
  <c r="F25" i="37"/>
  <c r="F24" i="37"/>
  <c r="F29" i="37"/>
  <c r="F61" i="37"/>
  <c r="F51" i="37"/>
  <c r="F72" i="37"/>
  <c r="F117" i="37"/>
  <c r="F107" i="37"/>
  <c r="F49" i="37"/>
  <c r="F109" i="37"/>
  <c r="F122" i="37"/>
  <c r="D52" i="35" a="1"/>
  <c r="D52" i="35" s="1"/>
  <c r="F27" i="37"/>
  <c r="F67" i="37"/>
  <c r="F70" i="37"/>
  <c r="F97" i="37"/>
  <c r="F112" i="37"/>
  <c r="F120" i="37"/>
  <c r="F125" i="37"/>
  <c r="F48" i="37"/>
  <c r="F110" i="37"/>
  <c r="F44" i="37"/>
  <c r="F21" i="37"/>
  <c r="F73" i="37"/>
  <c r="F43" i="37"/>
  <c r="F53" i="37"/>
  <c r="F30" i="37"/>
  <c r="F63" i="37"/>
  <c r="F100" i="37"/>
  <c r="F65" i="37"/>
  <c r="F62" i="37"/>
  <c r="F83" i="37"/>
  <c r="F115" i="37"/>
  <c r="F80" i="37"/>
  <c r="F35" i="37"/>
  <c r="F50" i="37"/>
  <c r="F46" i="37"/>
  <c r="F60" i="37"/>
  <c r="F126" i="37"/>
  <c r="F54" i="37"/>
  <c r="F59" i="37"/>
  <c r="F81" i="37"/>
  <c r="F77" i="37"/>
  <c r="F23" i="37"/>
  <c r="F82" i="37"/>
  <c r="F52" i="37"/>
  <c r="F79" i="37"/>
  <c r="F124" i="37"/>
  <c r="F66" i="37"/>
  <c r="F68" i="37"/>
  <c r="F113" i="37"/>
  <c r="F34" i="37"/>
  <c r="F86" i="37"/>
  <c r="F118" i="37"/>
  <c r="F88" i="37"/>
  <c r="F116" i="37"/>
  <c r="F37" i="37"/>
  <c r="F89" i="37"/>
  <c r="F31" i="37"/>
  <c r="F101" i="37"/>
  <c r="F22" i="37"/>
  <c r="F114" i="37"/>
  <c r="F56" i="37"/>
  <c r="F103" i="37"/>
  <c r="F85" i="37"/>
  <c r="F95" i="37"/>
  <c r="F76" i="37"/>
  <c r="F119" i="37"/>
  <c r="F42" i="37"/>
  <c r="F102" i="37"/>
  <c r="F36" i="37"/>
  <c r="C26" i="36"/>
  <c r="G24" i="36"/>
  <c r="F24" i="36"/>
  <c r="E24" i="36"/>
  <c r="G41" i="36"/>
  <c r="E41" i="36"/>
  <c r="F41" i="36"/>
  <c r="G39" i="36"/>
  <c r="E39" i="36"/>
  <c r="F39" i="36"/>
  <c r="E56" i="36"/>
  <c r="F56" i="36"/>
  <c r="G56" i="36"/>
  <c r="G19" i="36"/>
  <c r="F19" i="36"/>
  <c r="E19" i="36"/>
  <c r="D64" i="36"/>
  <c r="C40" i="36"/>
  <c r="C42" i="36" s="1"/>
  <c r="E35" i="36"/>
  <c r="G35" i="36"/>
  <c r="F35" i="36"/>
  <c r="G54" i="36"/>
  <c r="F54" i="36"/>
  <c r="E54" i="36"/>
  <c r="F49" i="36"/>
  <c r="E49" i="36"/>
  <c r="F31" i="36"/>
  <c r="E31" i="36"/>
  <c r="G31" i="36"/>
  <c r="G66" i="36"/>
  <c r="F66" i="36"/>
  <c r="E66" i="36"/>
  <c r="E23" i="36"/>
  <c r="F23" i="36"/>
  <c r="G23" i="36"/>
  <c r="F20" i="36"/>
  <c r="E20" i="36"/>
  <c r="G20" i="36"/>
  <c r="G60" i="36"/>
  <c r="E60" i="36"/>
  <c r="F60" i="36"/>
  <c r="E21" i="36"/>
  <c r="G21" i="36"/>
  <c r="F21" i="36"/>
  <c r="F37" i="36"/>
  <c r="G37" i="36"/>
  <c r="E37" i="36"/>
  <c r="G70" i="36"/>
  <c r="F70" i="36"/>
  <c r="E70" i="36"/>
  <c r="G53" i="36"/>
  <c r="F53" i="36"/>
  <c r="E53" i="36"/>
  <c r="G36" i="36"/>
  <c r="F36" i="36"/>
  <c r="E36" i="36"/>
  <c r="G68" i="36"/>
  <c r="F68" i="36"/>
  <c r="E68" i="36"/>
  <c r="G25" i="36"/>
  <c r="F25" i="36"/>
  <c r="E25" i="36"/>
  <c r="G47" i="36"/>
  <c r="E47" i="36"/>
  <c r="F47" i="36"/>
  <c r="C62" i="36"/>
  <c r="F59" i="36"/>
  <c r="E59" i="36"/>
  <c r="G59" i="36"/>
  <c r="G52" i="36"/>
  <c r="F52" i="36"/>
  <c r="E52" i="36"/>
  <c r="G17" i="36"/>
  <c r="F17" i="36"/>
  <c r="I17" i="36" s="1"/>
  <c r="E17" i="36"/>
  <c r="C75" i="36"/>
  <c r="C78" i="36" s="1"/>
  <c r="G55" i="36"/>
  <c r="F55" i="36"/>
  <c r="E55" i="36"/>
  <c r="C57" i="36"/>
  <c r="C33" i="36"/>
  <c r="G28" i="36"/>
  <c r="E28" i="36"/>
  <c r="F28" i="36"/>
  <c r="G67" i="36"/>
  <c r="F67" i="36"/>
  <c r="E67" i="36"/>
  <c r="F29" i="36"/>
  <c r="E29" i="36"/>
  <c r="G29" i="36"/>
  <c r="G61" i="36"/>
  <c r="F61" i="36"/>
  <c r="E61" i="36"/>
  <c r="E18" i="36"/>
  <c r="F18" i="36"/>
  <c r="G18" i="36"/>
  <c r="F32" i="36"/>
  <c r="E32" i="36"/>
  <c r="G32" i="36"/>
  <c r="G71" i="36"/>
  <c r="F71" i="36"/>
  <c r="E71" i="36"/>
  <c r="G48" i="36"/>
  <c r="E48" i="36"/>
  <c r="F48" i="36"/>
  <c r="E30" i="36"/>
  <c r="G30" i="36"/>
  <c r="F30" i="36"/>
  <c r="G69" i="36"/>
  <c r="F69" i="36"/>
  <c r="E69" i="36"/>
  <c r="G22" i="36"/>
  <c r="F22" i="36"/>
  <c r="E22" i="36"/>
  <c r="F38" i="36"/>
  <c r="E38" i="36"/>
  <c r="G38" i="36"/>
  <c r="G76" i="36"/>
  <c r="F76" i="36"/>
  <c r="E76" i="36"/>
  <c r="C57" i="37"/>
  <c r="C40" i="37"/>
  <c r="C28" i="37"/>
  <c r="C32" i="37" s="1"/>
  <c r="E129" i="37" s="1"/>
  <c r="K129" i="37" s="1"/>
  <c r="C127" i="37"/>
  <c r="D98" i="37"/>
  <c r="D105" i="37" s="1"/>
  <c r="D130" i="37" s="1"/>
  <c r="C74" i="37"/>
  <c r="J69" i="37"/>
  <c r="G69" i="37"/>
  <c r="I69" i="37" s="1"/>
  <c r="J89" i="37"/>
  <c r="G89" i="37"/>
  <c r="I89" i="37" s="1"/>
  <c r="J83" i="37"/>
  <c r="G83" i="37"/>
  <c r="I83" i="37" s="1"/>
  <c r="G118" i="37"/>
  <c r="I118" i="37" s="1"/>
  <c r="J118" i="37"/>
  <c r="G30" i="37"/>
  <c r="I30" i="37" s="1"/>
  <c r="J30" i="37"/>
  <c r="G103" i="37"/>
  <c r="I103" i="37" s="1"/>
  <c r="J103" i="37"/>
  <c r="J104" i="37"/>
  <c r="G104" i="37"/>
  <c r="I104" i="37" s="1"/>
  <c r="J65" i="37"/>
  <c r="G65" i="37"/>
  <c r="I65" i="37" s="1"/>
  <c r="G26" i="37"/>
  <c r="I26" i="37" s="1"/>
  <c r="J26" i="37"/>
  <c r="J95" i="37"/>
  <c r="G95" i="37"/>
  <c r="I95" i="37" s="1"/>
  <c r="J27" i="37"/>
  <c r="G27" i="37"/>
  <c r="I27" i="37" s="1"/>
  <c r="J126" i="37"/>
  <c r="G126" i="37"/>
  <c r="I126" i="37" s="1"/>
  <c r="G79" i="37"/>
  <c r="I79" i="37" s="1"/>
  <c r="J79" i="37"/>
  <c r="G56" i="37"/>
  <c r="I56" i="37" s="1"/>
  <c r="J56" i="37"/>
  <c r="J117" i="37"/>
  <c r="G117" i="37"/>
  <c r="I117" i="37" s="1"/>
  <c r="G39" i="37"/>
  <c r="I39" i="37" s="1"/>
  <c r="J39" i="37"/>
  <c r="J113" i="37"/>
  <c r="G113" i="37"/>
  <c r="I113" i="37" s="1"/>
  <c r="G31" i="37"/>
  <c r="I31" i="37" s="1"/>
  <c r="J31" i="37"/>
  <c r="J114" i="37"/>
  <c r="G114" i="37"/>
  <c r="I114" i="37" s="1"/>
  <c r="G47" i="37"/>
  <c r="I47" i="37" s="1"/>
  <c r="J47" i="37"/>
  <c r="J73" i="37"/>
  <c r="G73" i="37"/>
  <c r="I73" i="37" s="1"/>
  <c r="J67" i="37"/>
  <c r="G67" i="37"/>
  <c r="I67" i="37" s="1"/>
  <c r="J25" i="37"/>
  <c r="G25" i="37"/>
  <c r="I25" i="37" s="1"/>
  <c r="J108" i="37"/>
  <c r="G108" i="37"/>
  <c r="I108" i="37" s="1"/>
  <c r="J60" i="37"/>
  <c r="G60" i="37"/>
  <c r="I60" i="37" s="1"/>
  <c r="J86" i="37"/>
  <c r="G86" i="37"/>
  <c r="I86" i="37" s="1"/>
  <c r="G70" i="37"/>
  <c r="I70" i="37" s="1"/>
  <c r="J70" i="37"/>
  <c r="J125" i="37"/>
  <c r="G125" i="37"/>
  <c r="I125" i="37" s="1"/>
  <c r="G34" i="37"/>
  <c r="I34" i="37" s="1"/>
  <c r="G116" i="37"/>
  <c r="I116" i="37" s="1"/>
  <c r="J116" i="37"/>
  <c r="G68" i="37"/>
  <c r="I68" i="37" s="1"/>
  <c r="J68" i="37"/>
  <c r="G21" i="37"/>
  <c r="I21" i="37" s="1"/>
  <c r="J21" i="37"/>
  <c r="J101" i="37"/>
  <c r="G101" i="37"/>
  <c r="I101" i="37" s="1"/>
  <c r="J48" i="37"/>
  <c r="G48" i="37"/>
  <c r="I48" i="37" s="1"/>
  <c r="J52" i="37"/>
  <c r="G52" i="37"/>
  <c r="I52" i="37" s="1"/>
  <c r="G54" i="37"/>
  <c r="I54" i="37" s="1"/>
  <c r="J54" i="37"/>
  <c r="G139" i="37"/>
  <c r="I139" i="37" s="1"/>
  <c r="J139" i="37"/>
  <c r="J55" i="37"/>
  <c r="G55" i="37"/>
  <c r="I55" i="37" s="1"/>
  <c r="J102" i="37"/>
  <c r="G102" i="37"/>
  <c r="I102" i="37" s="1"/>
  <c r="J90" i="37"/>
  <c r="G90" i="37"/>
  <c r="I90" i="37" s="1"/>
  <c r="J45" i="37"/>
  <c r="G45" i="37"/>
  <c r="I45" i="37" s="1"/>
  <c r="G44" i="37"/>
  <c r="I44" i="37" s="1"/>
  <c r="J44" i="37"/>
  <c r="G124" i="37"/>
  <c r="I124" i="37" s="1"/>
  <c r="J124" i="37"/>
  <c r="J78" i="37"/>
  <c r="G78" i="37"/>
  <c r="I78" i="37" s="1"/>
  <c r="J29" i="37"/>
  <c r="G29" i="37"/>
  <c r="I29" i="37" s="1"/>
  <c r="J111" i="37"/>
  <c r="G111" i="37"/>
  <c r="I111" i="37" s="1"/>
  <c r="J22" i="37"/>
  <c r="G22" i="37"/>
  <c r="I22" i="37" s="1"/>
  <c r="G109" i="37"/>
  <c r="I109" i="37" s="1"/>
  <c r="J109" i="37"/>
  <c r="G122" i="37"/>
  <c r="I122" i="37" s="1"/>
  <c r="J122" i="37"/>
  <c r="G53" i="37"/>
  <c r="I53" i="37" s="1"/>
  <c r="J53" i="37"/>
  <c r="J63" i="37"/>
  <c r="G63" i="37"/>
  <c r="I63" i="37" s="1"/>
  <c r="G64" i="37"/>
  <c r="I64" i="37" s="1"/>
  <c r="J64" i="37"/>
  <c r="G35" i="37"/>
  <c r="I35" i="37" s="1"/>
  <c r="J35" i="37"/>
  <c r="J24" i="37"/>
  <c r="G24" i="37"/>
  <c r="I24" i="37" s="1"/>
  <c r="J107" i="37"/>
  <c r="G107" i="37"/>
  <c r="I107" i="37" s="1"/>
  <c r="G38" i="37"/>
  <c r="I38" i="37" s="1"/>
  <c r="J38" i="37"/>
  <c r="G50" i="37"/>
  <c r="I50" i="37" s="1"/>
  <c r="J50" i="37"/>
  <c r="G85" i="37"/>
  <c r="I85" i="37" s="1"/>
  <c r="J85" i="37"/>
  <c r="J37" i="37"/>
  <c r="G37" i="37"/>
  <c r="I37" i="37" s="1"/>
  <c r="G119" i="37"/>
  <c r="I119" i="37" s="1"/>
  <c r="J119" i="37"/>
  <c r="J88" i="37"/>
  <c r="G88" i="37"/>
  <c r="I88" i="37" s="1"/>
  <c r="J120" i="37"/>
  <c r="G120" i="37"/>
  <c r="I120" i="37" s="1"/>
  <c r="J42" i="37"/>
  <c r="G42" i="37"/>
  <c r="I42" i="37" s="1"/>
  <c r="G71" i="37"/>
  <c r="I71" i="37" s="1"/>
  <c r="J71" i="37"/>
  <c r="J77" i="37"/>
  <c r="G77" i="37"/>
  <c r="I77" i="37" s="1"/>
  <c r="J72" i="37"/>
  <c r="G72" i="37"/>
  <c r="I72" i="37" s="1"/>
  <c r="J59" i="37"/>
  <c r="G59" i="37"/>
  <c r="I59" i="37" s="1"/>
  <c r="G43" i="37"/>
  <c r="I43" i="37" s="1"/>
  <c r="J43" i="37"/>
  <c r="G115" i="37"/>
  <c r="I115" i="37" s="1"/>
  <c r="J115" i="37"/>
  <c r="J62" i="37"/>
  <c r="G62" i="37"/>
  <c r="I62" i="37" s="1"/>
  <c r="J66" i="37"/>
  <c r="G66" i="37"/>
  <c r="I66" i="37" s="1"/>
  <c r="J51" i="37"/>
  <c r="G51" i="37"/>
  <c r="I51" i="37" s="1"/>
  <c r="G100" i="37"/>
  <c r="I100" i="37" s="1"/>
  <c r="J100" i="37"/>
  <c r="J46" i="37"/>
  <c r="G46" i="37"/>
  <c r="I46" i="37" s="1"/>
  <c r="J23" i="37"/>
  <c r="G23" i="37"/>
  <c r="I23" i="37" s="1"/>
  <c r="G121" i="37"/>
  <c r="I121" i="37" s="1"/>
  <c r="J121" i="37"/>
  <c r="J80" i="37"/>
  <c r="G80" i="37"/>
  <c r="I80" i="37" s="1"/>
  <c r="G112" i="37"/>
  <c r="I112" i="37" s="1"/>
  <c r="J112" i="37"/>
  <c r="J81" i="37"/>
  <c r="G81" i="37"/>
  <c r="I81" i="37" s="1"/>
  <c r="G36" i="37"/>
  <c r="I36" i="37" s="1"/>
  <c r="J36" i="37"/>
  <c r="J82" i="37"/>
  <c r="G82" i="37"/>
  <c r="I82" i="37" s="1"/>
  <c r="J97" i="37"/>
  <c r="G97" i="37"/>
  <c r="I97" i="37" s="1"/>
  <c r="J49" i="37"/>
  <c r="G49" i="37"/>
  <c r="I49" i="37" s="1"/>
  <c r="J123" i="37"/>
  <c r="G123" i="37"/>
  <c r="I123" i="37" s="1"/>
  <c r="G87" i="37"/>
  <c r="I87" i="37" s="1"/>
  <c r="J87" i="37"/>
  <c r="G76" i="37"/>
  <c r="I76" i="37" s="1"/>
  <c r="J76" i="37"/>
  <c r="J84" i="37"/>
  <c r="G84" i="37"/>
  <c r="I84" i="37" s="1"/>
  <c r="J110" i="37"/>
  <c r="G110" i="37"/>
  <c r="I110" i="37" s="1"/>
  <c r="G61" i="37"/>
  <c r="I61" i="37" s="1"/>
  <c r="J61" i="37"/>
  <c r="G56" i="35"/>
  <c r="F94" i="35"/>
  <c r="E114" i="35"/>
  <c r="D114" i="35"/>
  <c r="F113" i="35"/>
  <c r="F112" i="35"/>
  <c r="F111" i="35"/>
  <c r="F110" i="35"/>
  <c r="F109" i="35"/>
  <c r="F108" i="35"/>
  <c r="F107" i="35"/>
  <c r="F106" i="35"/>
  <c r="F105" i="35"/>
  <c r="E103" i="35"/>
  <c r="D103" i="35"/>
  <c r="F102" i="35"/>
  <c r="F101" i="35"/>
  <c r="F100" i="35"/>
  <c r="F99" i="35"/>
  <c r="F98" i="35"/>
  <c r="F97" i="35"/>
  <c r="F96" i="35"/>
  <c r="F95" i="35"/>
  <c r="C98" i="37" l="1"/>
  <c r="D79" i="36"/>
  <c r="H49" i="36"/>
  <c r="I66" i="36"/>
  <c r="D132" i="37"/>
  <c r="D137" i="37" s="1"/>
  <c r="E91" i="37"/>
  <c r="K91" i="37" s="1"/>
  <c r="E92" i="37"/>
  <c r="K92" i="37" s="1"/>
  <c r="E93" i="37"/>
  <c r="K93" i="37" s="1"/>
  <c r="C74" i="27"/>
  <c r="I61" i="36"/>
  <c r="I30" i="36"/>
  <c r="I53" i="36"/>
  <c r="J34" i="37"/>
  <c r="I21" i="36"/>
  <c r="I32" i="36"/>
  <c r="I54" i="36"/>
  <c r="I19" i="36"/>
  <c r="I41" i="36"/>
  <c r="I25" i="36"/>
  <c r="I48" i="36"/>
  <c r="I69" i="36"/>
  <c r="I67" i="36"/>
  <c r="I55" i="36"/>
  <c r="I71" i="36"/>
  <c r="I22" i="36"/>
  <c r="C44" i="36"/>
  <c r="I47" i="36"/>
  <c r="I70" i="36"/>
  <c r="I60" i="36"/>
  <c r="I24" i="36"/>
  <c r="I23" i="36"/>
  <c r="I31" i="36"/>
  <c r="I56" i="36"/>
  <c r="I37" i="36"/>
  <c r="I28" i="36"/>
  <c r="I20" i="36"/>
  <c r="I38" i="36"/>
  <c r="I59" i="36"/>
  <c r="I35" i="36"/>
  <c r="I68" i="36"/>
  <c r="I29" i="36"/>
  <c r="C64" i="36"/>
  <c r="I39" i="36"/>
  <c r="I76" i="36"/>
  <c r="I18" i="36"/>
  <c r="I52" i="36"/>
  <c r="I36" i="36"/>
  <c r="E126" i="37"/>
  <c r="K126" i="37" s="1"/>
  <c r="E123" i="37"/>
  <c r="K123" i="37" s="1"/>
  <c r="E120" i="37"/>
  <c r="K120" i="37" s="1"/>
  <c r="E117" i="37"/>
  <c r="K117" i="37" s="1"/>
  <c r="E95" i="37"/>
  <c r="K95" i="37" s="1"/>
  <c r="E66" i="37"/>
  <c r="K66" i="37" s="1"/>
  <c r="E60" i="37"/>
  <c r="K60" i="37" s="1"/>
  <c r="E104" i="37"/>
  <c r="K104" i="37" s="1"/>
  <c r="E101" i="37"/>
  <c r="K101" i="37" s="1"/>
  <c r="E88" i="37"/>
  <c r="K88" i="37" s="1"/>
  <c r="E80" i="37"/>
  <c r="K80" i="37" s="1"/>
  <c r="E77" i="37"/>
  <c r="K77" i="37" s="1"/>
  <c r="E72" i="37"/>
  <c r="K72" i="37" s="1"/>
  <c r="E139" i="37"/>
  <c r="K139" i="37" s="1"/>
  <c r="E124" i="37"/>
  <c r="K124" i="37" s="1"/>
  <c r="E121" i="37"/>
  <c r="K121" i="37" s="1"/>
  <c r="E97" i="37"/>
  <c r="K97" i="37" s="1"/>
  <c r="E73" i="37"/>
  <c r="K73" i="37" s="1"/>
  <c r="E70" i="37"/>
  <c r="K70" i="37" s="1"/>
  <c r="E67" i="37"/>
  <c r="K67" i="37" s="1"/>
  <c r="E64" i="37"/>
  <c r="K64" i="37" s="1"/>
  <c r="E29" i="37"/>
  <c r="K29" i="37" s="1"/>
  <c r="E45" i="37"/>
  <c r="K45" i="37" s="1"/>
  <c r="E122" i="37"/>
  <c r="K122" i="37" s="1"/>
  <c r="E119" i="37"/>
  <c r="K119" i="37" s="1"/>
  <c r="E116" i="37"/>
  <c r="K116" i="37" s="1"/>
  <c r="E113" i="37"/>
  <c r="K113" i="37" s="1"/>
  <c r="E59" i="37"/>
  <c r="K59" i="37" s="1"/>
  <c r="E110" i="37"/>
  <c r="K110" i="37" s="1"/>
  <c r="E107" i="37"/>
  <c r="K107" i="37" s="1"/>
  <c r="E102" i="37"/>
  <c r="K102" i="37" s="1"/>
  <c r="E89" i="37"/>
  <c r="K89" i="37" s="1"/>
  <c r="E86" i="37"/>
  <c r="K86" i="37" s="1"/>
  <c r="E83" i="37"/>
  <c r="K83" i="37" s="1"/>
  <c r="E81" i="37"/>
  <c r="K81" i="37" s="1"/>
  <c r="E78" i="37"/>
  <c r="K78" i="37" s="1"/>
  <c r="E48" i="37"/>
  <c r="K48" i="37" s="1"/>
  <c r="E42" i="37"/>
  <c r="K42" i="37" s="1"/>
  <c r="E37" i="37"/>
  <c r="K37" i="37" s="1"/>
  <c r="E34" i="37"/>
  <c r="E65" i="37"/>
  <c r="K65" i="37" s="1"/>
  <c r="E62" i="37"/>
  <c r="K62" i="37" s="1"/>
  <c r="E114" i="37"/>
  <c r="K114" i="37" s="1"/>
  <c r="E111" i="37"/>
  <c r="K111" i="37" s="1"/>
  <c r="E108" i="37"/>
  <c r="K108" i="37" s="1"/>
  <c r="E103" i="37"/>
  <c r="K103" i="37" s="1"/>
  <c r="E84" i="37"/>
  <c r="K84" i="37" s="1"/>
  <c r="E82" i="37"/>
  <c r="K82" i="37" s="1"/>
  <c r="E79" i="37"/>
  <c r="K79" i="37" s="1"/>
  <c r="E52" i="37"/>
  <c r="K52" i="37" s="1"/>
  <c r="E49" i="37"/>
  <c r="K49" i="37" s="1"/>
  <c r="E46" i="37"/>
  <c r="K46" i="37" s="1"/>
  <c r="E43" i="37"/>
  <c r="K43" i="37" s="1"/>
  <c r="E38" i="37"/>
  <c r="K38" i="37" s="1"/>
  <c r="E69" i="37"/>
  <c r="K69" i="37" s="1"/>
  <c r="E63" i="37"/>
  <c r="K63" i="37" s="1"/>
  <c r="E55" i="37"/>
  <c r="K55" i="37" s="1"/>
  <c r="E125" i="37"/>
  <c r="K125" i="37" s="1"/>
  <c r="E54" i="37"/>
  <c r="K54" i="37" s="1"/>
  <c r="E51" i="37"/>
  <c r="K51" i="37" s="1"/>
  <c r="E118" i="37"/>
  <c r="K118" i="37" s="1"/>
  <c r="E112" i="37"/>
  <c r="K112" i="37" s="1"/>
  <c r="E85" i="37"/>
  <c r="K85" i="37" s="1"/>
  <c r="E115" i="37"/>
  <c r="K115" i="37" s="1"/>
  <c r="E90" i="37"/>
  <c r="K90" i="37" s="1"/>
  <c r="E71" i="37"/>
  <c r="K71" i="37" s="1"/>
  <c r="E44" i="37"/>
  <c r="K44" i="37" s="1"/>
  <c r="E39" i="37"/>
  <c r="K39" i="37" s="1"/>
  <c r="E36" i="37"/>
  <c r="K36" i="37" s="1"/>
  <c r="E31" i="37"/>
  <c r="K31" i="37" s="1"/>
  <c r="E53" i="37"/>
  <c r="K53" i="37" s="1"/>
  <c r="E50" i="37"/>
  <c r="K50" i="37" s="1"/>
  <c r="E47" i="37"/>
  <c r="K47" i="37" s="1"/>
  <c r="E30" i="37"/>
  <c r="K30" i="37" s="1"/>
  <c r="E61" i="37"/>
  <c r="K61" i="37" s="1"/>
  <c r="E109" i="37"/>
  <c r="K109" i="37" s="1"/>
  <c r="E56" i="37"/>
  <c r="K56" i="37" s="1"/>
  <c r="E35" i="37"/>
  <c r="K35" i="37" s="1"/>
  <c r="E100" i="37"/>
  <c r="K100" i="37" s="1"/>
  <c r="E87" i="37"/>
  <c r="K87" i="37" s="1"/>
  <c r="E76" i="37"/>
  <c r="K76" i="37" s="1"/>
  <c r="E68" i="37"/>
  <c r="K68" i="37" s="1"/>
  <c r="E21" i="37"/>
  <c r="K21" i="37" s="1"/>
  <c r="E25" i="37"/>
  <c r="K25" i="37" s="1"/>
  <c r="E26" i="37"/>
  <c r="K26" i="37" s="1"/>
  <c r="E27" i="37"/>
  <c r="K27" i="37" s="1"/>
  <c r="E24" i="37"/>
  <c r="K24" i="37" s="1"/>
  <c r="E22" i="37"/>
  <c r="K22" i="37" s="1"/>
  <c r="E23" i="37"/>
  <c r="K23" i="37" s="1"/>
  <c r="D115" i="35"/>
  <c r="E115" i="35"/>
  <c r="F114" i="35"/>
  <c r="F103" i="35"/>
  <c r="C79" i="36" l="1"/>
  <c r="G49" i="36"/>
  <c r="I49" i="36" s="1"/>
  <c r="D141" i="37"/>
  <c r="D148" i="37" s="1"/>
  <c r="E32" i="28"/>
  <c r="C105" i="37"/>
  <c r="K34" i="37"/>
  <c r="F115" i="35"/>
  <c r="F42" i="18"/>
  <c r="C113" i="8"/>
  <c r="I110" i="8"/>
  <c r="K110" i="8" s="1"/>
  <c r="S110" i="8"/>
  <c r="H65" i="7"/>
  <c r="I65" i="7"/>
  <c r="J65" i="7"/>
  <c r="K65" i="7"/>
  <c r="L65" i="7"/>
  <c r="M65" i="7"/>
  <c r="N65" i="7"/>
  <c r="F62" i="7"/>
  <c r="D62" i="7"/>
  <c r="C62" i="7"/>
  <c r="C64" i="7" s="1"/>
  <c r="C67" i="29"/>
  <c r="C70" i="29" s="1"/>
  <c r="D67" i="29"/>
  <c r="D70" i="29" s="1"/>
  <c r="E67" i="29"/>
  <c r="F67" i="29"/>
  <c r="C130" i="37" l="1"/>
  <c r="C132" i="37" s="1"/>
  <c r="C137" i="37" s="1"/>
  <c r="D64" i="7"/>
  <c r="F64" i="7"/>
  <c r="C141" i="37" l="1"/>
  <c r="C148" i="37" s="1"/>
  <c r="E70" i="29"/>
  <c r="F70" i="29"/>
  <c r="E319" i="35" l="1"/>
  <c r="H351" i="35"/>
  <c r="G351" i="35"/>
  <c r="F351" i="35"/>
  <c r="E351" i="35"/>
  <c r="I350" i="35"/>
  <c r="I349" i="35"/>
  <c r="I347" i="35"/>
  <c r="I346" i="35"/>
  <c r="I345" i="35"/>
  <c r="I344" i="35"/>
  <c r="I343" i="35"/>
  <c r="I342" i="35"/>
  <c r="I341" i="35"/>
  <c r="I340" i="35"/>
  <c r="I339" i="35"/>
  <c r="I338" i="35"/>
  <c r="I337" i="35"/>
  <c r="I336" i="35"/>
  <c r="I335" i="35"/>
  <c r="I334" i="35"/>
  <c r="I333" i="35"/>
  <c r="I332" i="35"/>
  <c r="I331" i="35"/>
  <c r="I351" i="35" l="1"/>
  <c r="C256" i="35" l="1"/>
  <c r="S130" i="8" l="1"/>
  <c r="I130" i="8"/>
  <c r="K130" i="8" s="1"/>
  <c r="D368" i="35" l="1"/>
  <c r="M314" i="35"/>
  <c r="L314" i="35"/>
  <c r="K314" i="35"/>
  <c r="J314" i="35"/>
  <c r="I314" i="35"/>
  <c r="H314" i="35"/>
  <c r="G314" i="35"/>
  <c r="F314" i="35"/>
  <c r="O313" i="35"/>
  <c r="N313" i="35"/>
  <c r="O312" i="35"/>
  <c r="N312" i="35"/>
  <c r="O311" i="35"/>
  <c r="N311" i="35"/>
  <c r="O310" i="35"/>
  <c r="N310" i="35"/>
  <c r="O309" i="35"/>
  <c r="N309" i="35"/>
  <c r="O308" i="35"/>
  <c r="N308" i="35"/>
  <c r="O307" i="35"/>
  <c r="N307" i="35"/>
  <c r="O306" i="35"/>
  <c r="N306" i="35"/>
  <c r="O305" i="35"/>
  <c r="N305" i="35"/>
  <c r="O304" i="35"/>
  <c r="N304" i="35"/>
  <c r="O303" i="35"/>
  <c r="N303" i="35"/>
  <c r="E291" i="35"/>
  <c r="D291" i="35"/>
  <c r="G255" i="35"/>
  <c r="G244" i="35"/>
  <c r="C235" i="35"/>
  <c r="G231" i="35"/>
  <c r="C222" i="35"/>
  <c r="C215" i="35"/>
  <c r="G205" i="35"/>
  <c r="F205" i="35"/>
  <c r="H204" i="35"/>
  <c r="H203" i="35"/>
  <c r="H202" i="35"/>
  <c r="H201" i="35"/>
  <c r="H200" i="35"/>
  <c r="H199" i="35"/>
  <c r="H198" i="35"/>
  <c r="H197" i="35"/>
  <c r="H196" i="35"/>
  <c r="C194" i="35"/>
  <c r="F128" i="35"/>
  <c r="E128" i="35"/>
  <c r="D128" i="35"/>
  <c r="G127" i="35"/>
  <c r="G126" i="35"/>
  <c r="G123" i="35"/>
  <c r="F82" i="35"/>
  <c r="E82" i="35"/>
  <c r="C75" i="35"/>
  <c r="C67" i="35"/>
  <c r="F56" i="35"/>
  <c r="C41" i="35"/>
  <c r="C33" i="35"/>
  <c r="C22" i="35"/>
  <c r="G128" i="35" l="1"/>
  <c r="O314" i="35"/>
  <c r="H205" i="35"/>
  <c r="N314" i="35"/>
  <c r="H56" i="35"/>
  <c r="I56" i="35" s="1"/>
  <c r="F75" i="18" l="1"/>
  <c r="D75" i="18"/>
  <c r="E75" i="18" s="1"/>
  <c r="E74" i="18"/>
  <c r="E72" i="18"/>
  <c r="E68" i="18"/>
  <c r="E67" i="18"/>
  <c r="E66" i="18"/>
  <c r="E65" i="18"/>
  <c r="E64" i="18"/>
  <c r="E63" i="18"/>
  <c r="E62" i="18"/>
  <c r="E61" i="18"/>
  <c r="E60" i="18"/>
  <c r="E59" i="18"/>
  <c r="E58" i="18"/>
  <c r="E57" i="18"/>
  <c r="E56" i="18"/>
  <c r="E55" i="18"/>
  <c r="E54" i="18"/>
  <c r="E53" i="18"/>
  <c r="E52" i="18"/>
  <c r="E51" i="18"/>
  <c r="E50" i="18"/>
  <c r="E49" i="18"/>
  <c r="E48" i="18"/>
  <c r="E47" i="18"/>
  <c r="E46" i="18"/>
  <c r="E45" i="18"/>
  <c r="E43" i="18"/>
  <c r="E26" i="18" l="1"/>
  <c r="E27" i="18"/>
  <c r="E28" i="18"/>
  <c r="E29" i="18"/>
  <c r="E30" i="18"/>
  <c r="E31" i="18"/>
  <c r="E32" i="18"/>
  <c r="E33" i="18"/>
  <c r="E38" i="18"/>
  <c r="E9" i="18"/>
  <c r="E10" i="18"/>
  <c r="E12" i="18"/>
  <c r="E13" i="18"/>
  <c r="E14" i="18"/>
  <c r="E15" i="18"/>
  <c r="E16" i="18"/>
  <c r="E17" i="18"/>
  <c r="E18" i="18"/>
  <c r="E19" i="18"/>
  <c r="E20" i="18"/>
  <c r="E21" i="18"/>
  <c r="E22" i="18"/>
  <c r="E23" i="18"/>
  <c r="E24" i="18"/>
  <c r="E25" i="18"/>
  <c r="E7" i="18"/>
  <c r="D39" i="18"/>
  <c r="D78" i="18" s="1"/>
  <c r="D80" i="18" s="1"/>
  <c r="C39" i="18"/>
  <c r="C78" i="18" s="1"/>
  <c r="C80" i="18" s="1"/>
  <c r="E39" i="18" l="1"/>
  <c r="S132" i="8"/>
  <c r="I132" i="8"/>
  <c r="K132" i="8" s="1"/>
  <c r="S129" i="8"/>
  <c r="I129" i="8"/>
  <c r="K129" i="8" s="1"/>
  <c r="S125" i="8"/>
  <c r="I125" i="8"/>
  <c r="K125" i="8" s="1"/>
  <c r="R113" i="8"/>
  <c r="Q113" i="8"/>
  <c r="P113" i="8"/>
  <c r="O113" i="8"/>
  <c r="N113" i="8"/>
  <c r="M113" i="8"/>
  <c r="L113" i="8"/>
  <c r="L116" i="8" s="1"/>
  <c r="J113" i="8"/>
  <c r="H113" i="8"/>
  <c r="I113" i="8" s="1"/>
  <c r="G113" i="8"/>
  <c r="F113" i="8"/>
  <c r="E113" i="8"/>
  <c r="D113" i="8"/>
  <c r="S112" i="8"/>
  <c r="I112" i="8"/>
  <c r="K112" i="8" s="1"/>
  <c r="S111" i="8"/>
  <c r="I111" i="8"/>
  <c r="K111" i="8" s="1"/>
  <c r="S109" i="8"/>
  <c r="I109" i="8"/>
  <c r="K109" i="8" s="1"/>
  <c r="S108" i="8"/>
  <c r="I108" i="8"/>
  <c r="K108" i="8" s="1"/>
  <c r="S107" i="8"/>
  <c r="I107" i="8"/>
  <c r="K107" i="8" s="1"/>
  <c r="S106" i="8"/>
  <c r="I106" i="8"/>
  <c r="K106" i="8" s="1"/>
  <c r="S105" i="8"/>
  <c r="I105" i="8"/>
  <c r="K105" i="8" s="1"/>
  <c r="S104" i="8"/>
  <c r="I104" i="8"/>
  <c r="K104" i="8" s="1"/>
  <c r="S103" i="8"/>
  <c r="I103" i="8"/>
  <c r="K103" i="8" s="1"/>
  <c r="S102" i="8"/>
  <c r="I102" i="8"/>
  <c r="K102" i="8" s="1"/>
  <c r="S101" i="8"/>
  <c r="I101" i="8"/>
  <c r="K101" i="8" s="1"/>
  <c r="S100" i="8"/>
  <c r="I100" i="8"/>
  <c r="K100" i="8" s="1"/>
  <c r="S99" i="8"/>
  <c r="I99" i="8"/>
  <c r="K99" i="8" s="1"/>
  <c r="S98" i="8"/>
  <c r="I98" i="8"/>
  <c r="K98" i="8" s="1"/>
  <c r="S97" i="8"/>
  <c r="I97" i="8"/>
  <c r="K97" i="8" s="1"/>
  <c r="S96" i="8"/>
  <c r="I96" i="8"/>
  <c r="K96" i="8" s="1"/>
  <c r="S95" i="8"/>
  <c r="I95" i="8"/>
  <c r="K95" i="8" s="1"/>
  <c r="S94" i="8"/>
  <c r="I94" i="8"/>
  <c r="K94" i="8" s="1"/>
  <c r="S93" i="8"/>
  <c r="I93" i="8"/>
  <c r="K93" i="8" s="1"/>
  <c r="S90" i="8"/>
  <c r="I90" i="8"/>
  <c r="K90" i="8" s="1"/>
  <c r="S89" i="8"/>
  <c r="I89" i="8"/>
  <c r="K89" i="8" s="1"/>
  <c r="S88" i="8"/>
  <c r="I88" i="8"/>
  <c r="K88" i="8" s="1"/>
  <c r="S87" i="8"/>
  <c r="I87" i="8"/>
  <c r="K87" i="8" s="1"/>
  <c r="S86" i="8"/>
  <c r="I86" i="8"/>
  <c r="K86" i="8" s="1"/>
  <c r="S83" i="8"/>
  <c r="I83" i="8"/>
  <c r="K83" i="8" s="1"/>
  <c r="S76" i="8"/>
  <c r="I76" i="8"/>
  <c r="K76" i="8" s="1"/>
  <c r="S75" i="8"/>
  <c r="I75" i="8"/>
  <c r="K75" i="8" s="1"/>
  <c r="S74" i="8"/>
  <c r="I74" i="8"/>
  <c r="K74" i="8" s="1"/>
  <c r="S73" i="8"/>
  <c r="I73" i="8"/>
  <c r="K73" i="8" s="1"/>
  <c r="S72" i="8"/>
  <c r="I72" i="8"/>
  <c r="K72" i="8" s="1"/>
  <c r="S71" i="8"/>
  <c r="I71" i="8"/>
  <c r="K71" i="8" s="1"/>
  <c r="S70" i="8"/>
  <c r="I70" i="8"/>
  <c r="K70" i="8" s="1"/>
  <c r="S69" i="8"/>
  <c r="I69" i="8"/>
  <c r="K69" i="8" s="1"/>
  <c r="S68" i="8"/>
  <c r="I68" i="8"/>
  <c r="K68" i="8" s="1"/>
  <c r="S67" i="8"/>
  <c r="I67" i="8"/>
  <c r="K67" i="8" s="1"/>
  <c r="S66" i="8"/>
  <c r="I66" i="8"/>
  <c r="K66" i="8" s="1"/>
  <c r="S65" i="8"/>
  <c r="I65" i="8"/>
  <c r="K65" i="8" s="1"/>
  <c r="S62" i="8"/>
  <c r="I62" i="8"/>
  <c r="R60" i="8"/>
  <c r="Q60" i="8"/>
  <c r="P60" i="8"/>
  <c r="O60" i="8"/>
  <c r="N60" i="8"/>
  <c r="M60" i="8"/>
  <c r="J60" i="8"/>
  <c r="H60" i="8"/>
  <c r="G60" i="8"/>
  <c r="F60" i="8"/>
  <c r="E60" i="8"/>
  <c r="D60" i="8"/>
  <c r="C60" i="8"/>
  <c r="S59" i="8"/>
  <c r="I59" i="8"/>
  <c r="K59" i="8" s="1"/>
  <c r="S58" i="8"/>
  <c r="I58" i="8"/>
  <c r="K58" i="8" s="1"/>
  <c r="S57" i="8"/>
  <c r="I57" i="8"/>
  <c r="K57" i="8" s="1"/>
  <c r="S56" i="8"/>
  <c r="I56" i="8"/>
  <c r="K56" i="8" s="1"/>
  <c r="S55" i="8"/>
  <c r="I55" i="8"/>
  <c r="K55" i="8" s="1"/>
  <c r="S54" i="8"/>
  <c r="I54" i="8"/>
  <c r="K54" i="8" s="1"/>
  <c r="S53" i="8"/>
  <c r="I53" i="8"/>
  <c r="K53" i="8" s="1"/>
  <c r="S52" i="8"/>
  <c r="I52" i="8"/>
  <c r="K52" i="8" s="1"/>
  <c r="S51" i="8"/>
  <c r="I51" i="8"/>
  <c r="K51" i="8" s="1"/>
  <c r="S50" i="8"/>
  <c r="I50" i="8"/>
  <c r="K50" i="8" s="1"/>
  <c r="S49" i="8"/>
  <c r="I49" i="8"/>
  <c r="K49" i="8" s="1"/>
  <c r="S48" i="8"/>
  <c r="I48" i="8"/>
  <c r="K48" i="8" s="1"/>
  <c r="S47" i="8"/>
  <c r="I47" i="8"/>
  <c r="K47" i="8" s="1"/>
  <c r="S46" i="8"/>
  <c r="I46" i="8"/>
  <c r="K46" i="8" s="1"/>
  <c r="S45" i="8"/>
  <c r="I45" i="8"/>
  <c r="K45" i="8" s="1"/>
  <c r="R43" i="8"/>
  <c r="Q43" i="8"/>
  <c r="P43" i="8"/>
  <c r="O43" i="8"/>
  <c r="N43" i="8"/>
  <c r="M43" i="8"/>
  <c r="J43" i="8"/>
  <c r="H43" i="8"/>
  <c r="G43" i="8"/>
  <c r="F43" i="8"/>
  <c r="E43" i="8"/>
  <c r="D43" i="8"/>
  <c r="C43" i="8"/>
  <c r="S42" i="8"/>
  <c r="I42" i="8"/>
  <c r="K42" i="8" s="1"/>
  <c r="S41" i="8"/>
  <c r="I41" i="8"/>
  <c r="K41" i="8" s="1"/>
  <c r="S40" i="8"/>
  <c r="I40" i="8"/>
  <c r="K40" i="8" s="1"/>
  <c r="S39" i="8"/>
  <c r="I39" i="8"/>
  <c r="K39" i="8" s="1"/>
  <c r="S38" i="8"/>
  <c r="I38" i="8"/>
  <c r="K38" i="8" s="1"/>
  <c r="S37" i="8"/>
  <c r="I37" i="8"/>
  <c r="K37" i="8" s="1"/>
  <c r="S36" i="8"/>
  <c r="I36" i="8"/>
  <c r="K36" i="8" s="1"/>
  <c r="S35" i="8"/>
  <c r="I35" i="8"/>
  <c r="K35" i="8" s="1"/>
  <c r="S34" i="8"/>
  <c r="I34" i="8"/>
  <c r="K34" i="8" s="1"/>
  <c r="S33" i="8"/>
  <c r="I33" i="8"/>
  <c r="K33" i="8" s="1"/>
  <c r="S32" i="8"/>
  <c r="I32" i="8"/>
  <c r="K32" i="8" s="1"/>
  <c r="S31" i="8"/>
  <c r="I31" i="8"/>
  <c r="K31" i="8" s="1"/>
  <c r="S30" i="8"/>
  <c r="I30" i="8"/>
  <c r="K30" i="8" s="1"/>
  <c r="S29" i="8"/>
  <c r="I29" i="8"/>
  <c r="K29" i="8" s="1"/>
  <c r="S28" i="8"/>
  <c r="I28" i="8"/>
  <c r="K28" i="8" s="1"/>
  <c r="R26" i="8"/>
  <c r="Q26" i="8"/>
  <c r="P26" i="8"/>
  <c r="O26" i="8"/>
  <c r="N26" i="8"/>
  <c r="M26" i="8"/>
  <c r="J26" i="8"/>
  <c r="H26" i="8"/>
  <c r="G26" i="8"/>
  <c r="F26" i="8"/>
  <c r="E26" i="8"/>
  <c r="D26" i="8"/>
  <c r="C26" i="8"/>
  <c r="S25" i="8"/>
  <c r="I25" i="8"/>
  <c r="K25" i="8" s="1"/>
  <c r="S24" i="8"/>
  <c r="I24" i="8"/>
  <c r="K24" i="8" s="1"/>
  <c r="S23" i="8"/>
  <c r="I23" i="8"/>
  <c r="K23" i="8" s="1"/>
  <c r="S22" i="8"/>
  <c r="I22" i="8"/>
  <c r="K22" i="8" s="1"/>
  <c r="S21" i="8"/>
  <c r="I21" i="8"/>
  <c r="K21" i="8" s="1"/>
  <c r="S20" i="8"/>
  <c r="I20" i="8"/>
  <c r="K20" i="8" s="1"/>
  <c r="S17" i="8"/>
  <c r="I17" i="8"/>
  <c r="K17" i="8" s="1"/>
  <c r="S16" i="8"/>
  <c r="I16" i="8"/>
  <c r="K16" i="8" s="1"/>
  <c r="S15" i="8"/>
  <c r="R18" i="8"/>
  <c r="Q14" i="8"/>
  <c r="Q18" i="8" s="1"/>
  <c r="P14" i="8"/>
  <c r="P18" i="8" s="1"/>
  <c r="O14" i="8"/>
  <c r="O18" i="8" s="1"/>
  <c r="N14" i="8"/>
  <c r="N18" i="8" s="1"/>
  <c r="M14" i="8"/>
  <c r="M18" i="8" s="1"/>
  <c r="J18" i="8"/>
  <c r="G14" i="8"/>
  <c r="G18" i="8" s="1"/>
  <c r="F14" i="8"/>
  <c r="F18" i="8" s="1"/>
  <c r="E14" i="8"/>
  <c r="E18" i="8" s="1"/>
  <c r="D14" i="8"/>
  <c r="D18" i="8" s="1"/>
  <c r="C14" i="8"/>
  <c r="C18" i="8" s="1"/>
  <c r="S13" i="8"/>
  <c r="K13" i="8"/>
  <c r="S10" i="8"/>
  <c r="I10" i="8"/>
  <c r="K10" i="8" s="1"/>
  <c r="S9" i="8"/>
  <c r="I9" i="8"/>
  <c r="K9" i="8" s="1"/>
  <c r="S8" i="8"/>
  <c r="I8" i="8"/>
  <c r="K8" i="8" s="1"/>
  <c r="S7" i="8"/>
  <c r="I7" i="8"/>
  <c r="K7" i="8" s="1"/>
  <c r="B2" i="8"/>
  <c r="O61" i="7"/>
  <c r="E61" i="7"/>
  <c r="G61" i="7" s="1"/>
  <c r="O60" i="7"/>
  <c r="E60" i="7"/>
  <c r="G60" i="7" s="1"/>
  <c r="O59" i="7"/>
  <c r="E59" i="7"/>
  <c r="O58" i="7"/>
  <c r="E58" i="7"/>
  <c r="G58" i="7" s="1"/>
  <c r="O57" i="7"/>
  <c r="E57" i="7"/>
  <c r="G57" i="7" s="1"/>
  <c r="O56" i="7"/>
  <c r="E56" i="7"/>
  <c r="G56" i="7" s="1"/>
  <c r="O55" i="7"/>
  <c r="E55" i="7"/>
  <c r="G55" i="7" s="1"/>
  <c r="O54" i="7"/>
  <c r="E54" i="7"/>
  <c r="G54" i="7" s="1"/>
  <c r="O53" i="7"/>
  <c r="E53" i="7"/>
  <c r="F50" i="7"/>
  <c r="D50" i="7"/>
  <c r="C50" i="7"/>
  <c r="O49" i="7"/>
  <c r="E49" i="7"/>
  <c r="G49" i="7" s="1"/>
  <c r="O48" i="7"/>
  <c r="E48" i="7"/>
  <c r="G48" i="7" s="1"/>
  <c r="O47" i="7"/>
  <c r="E47" i="7"/>
  <c r="G47" i="7" s="1"/>
  <c r="O44" i="7"/>
  <c r="E44" i="7"/>
  <c r="G44" i="7" s="1"/>
  <c r="O43" i="7"/>
  <c r="E43" i="7"/>
  <c r="G43" i="7" s="1"/>
  <c r="O42" i="7"/>
  <c r="E42" i="7"/>
  <c r="G42" i="7" s="1"/>
  <c r="O41" i="7"/>
  <c r="E41" i="7"/>
  <c r="G41" i="7" s="1"/>
  <c r="O40" i="7"/>
  <c r="E40" i="7"/>
  <c r="G40" i="7" s="1"/>
  <c r="O39" i="7"/>
  <c r="F39" i="7"/>
  <c r="F45" i="7" s="1"/>
  <c r="D39" i="7"/>
  <c r="D45" i="7" s="1"/>
  <c r="D51" i="7" s="1"/>
  <c r="D65" i="7" s="1"/>
  <c r="C39" i="7"/>
  <c r="C45" i="7" s="1"/>
  <c r="O38" i="7"/>
  <c r="E38" i="7"/>
  <c r="E39" i="7" s="1"/>
  <c r="O37" i="7"/>
  <c r="E37" i="7"/>
  <c r="G37" i="7" s="1"/>
  <c r="O36" i="7"/>
  <c r="E36" i="7"/>
  <c r="G36" i="7" s="1"/>
  <c r="O35" i="7"/>
  <c r="E35" i="7"/>
  <c r="G35" i="7" s="1"/>
  <c r="O31" i="7"/>
  <c r="E31" i="7"/>
  <c r="G31" i="7" s="1"/>
  <c r="O30" i="7"/>
  <c r="F30" i="7"/>
  <c r="F32" i="7" s="1"/>
  <c r="D30" i="7"/>
  <c r="D32" i="7" s="1"/>
  <c r="C30" i="7"/>
  <c r="C32" i="7" s="1"/>
  <c r="O29" i="7"/>
  <c r="E29" i="7"/>
  <c r="G29" i="7" s="1"/>
  <c r="O28" i="7"/>
  <c r="E28" i="7"/>
  <c r="G28" i="7" s="1"/>
  <c r="O27" i="7"/>
  <c r="E27" i="7"/>
  <c r="G27" i="7" s="1"/>
  <c r="O26" i="7"/>
  <c r="E26" i="7"/>
  <c r="O25" i="7"/>
  <c r="G25" i="7"/>
  <c r="F23" i="7"/>
  <c r="D23" i="7"/>
  <c r="C23" i="7"/>
  <c r="O22" i="7"/>
  <c r="E22" i="7"/>
  <c r="G22" i="7" s="1"/>
  <c r="O21" i="7"/>
  <c r="E21" i="7"/>
  <c r="G21" i="7" s="1"/>
  <c r="O20" i="7"/>
  <c r="E20" i="7"/>
  <c r="G20" i="7" s="1"/>
  <c r="O19" i="7"/>
  <c r="E19" i="7"/>
  <c r="G19" i="7" s="1"/>
  <c r="O18" i="7"/>
  <c r="E18" i="7"/>
  <c r="O15" i="7"/>
  <c r="E15" i="7"/>
  <c r="G15" i="7" s="1"/>
  <c r="O14" i="7"/>
  <c r="E14" i="7"/>
  <c r="G14" i="7" s="1"/>
  <c r="O13" i="7"/>
  <c r="E13" i="7"/>
  <c r="G13" i="7" s="1"/>
  <c r="O12" i="7"/>
  <c r="E12" i="7"/>
  <c r="G12" i="7" s="1"/>
  <c r="O11" i="7"/>
  <c r="E11" i="7"/>
  <c r="G11" i="7" s="1"/>
  <c r="O10" i="7"/>
  <c r="E10" i="7"/>
  <c r="G10" i="7" s="1"/>
  <c r="O9" i="7"/>
  <c r="E9" i="7"/>
  <c r="G9" i="7" s="1"/>
  <c r="O8" i="7"/>
  <c r="E8" i="7"/>
  <c r="G8" i="7" s="1"/>
  <c r="O7" i="7"/>
  <c r="E7" i="7"/>
  <c r="B2" i="7"/>
  <c r="B3" i="12"/>
  <c r="B2" i="12"/>
  <c r="F39" i="18"/>
  <c r="F78" i="18" s="1"/>
  <c r="F80" i="18" s="1"/>
  <c r="C50" i="24"/>
  <c r="C38" i="24"/>
  <c r="C26" i="24"/>
  <c r="C11" i="24"/>
  <c r="C18" i="24" s="1"/>
  <c r="C13" i="23"/>
  <c r="C31" i="26"/>
  <c r="C12" i="26"/>
  <c r="F54" i="29"/>
  <c r="E54" i="29"/>
  <c r="D54" i="29"/>
  <c r="C54" i="29"/>
  <c r="E49" i="29"/>
  <c r="E56" i="29" s="1"/>
  <c r="E71" i="29" s="1"/>
  <c r="F43" i="29"/>
  <c r="F49" i="29" s="1"/>
  <c r="E43" i="29"/>
  <c r="D43" i="29"/>
  <c r="D49" i="29" s="1"/>
  <c r="C43" i="29"/>
  <c r="F32" i="29"/>
  <c r="F34" i="29" s="1"/>
  <c r="E32" i="29"/>
  <c r="E34" i="29" s="1"/>
  <c r="D32" i="29"/>
  <c r="D34" i="29" s="1"/>
  <c r="C32" i="29"/>
  <c r="C34" i="29" s="1"/>
  <c r="F25" i="29"/>
  <c r="E25" i="29"/>
  <c r="D25" i="29"/>
  <c r="C25" i="29"/>
  <c r="F18" i="29"/>
  <c r="E18" i="29"/>
  <c r="D18" i="29"/>
  <c r="C18" i="29"/>
  <c r="C14" i="26" l="1"/>
  <c r="D141" i="35" s="1"/>
  <c r="E141" i="35" s="1"/>
  <c r="C43" i="26"/>
  <c r="D161" i="35" s="1"/>
  <c r="E161" i="35" s="1"/>
  <c r="E78" i="18"/>
  <c r="E80" i="18" s="1"/>
  <c r="O50" i="7"/>
  <c r="O45" i="7"/>
  <c r="O33" i="7"/>
  <c r="K62" i="8"/>
  <c r="I82" i="8"/>
  <c r="S82" i="8"/>
  <c r="S14" i="8"/>
  <c r="S18" i="8" s="1"/>
  <c r="C19" i="23"/>
  <c r="F35" i="28" s="1"/>
  <c r="D37" i="20"/>
  <c r="F51" i="7"/>
  <c r="F65" i="7" s="1"/>
  <c r="F33" i="7"/>
  <c r="D50" i="21"/>
  <c r="C51" i="7"/>
  <c r="C65" i="7" s="1"/>
  <c r="D32" i="22"/>
  <c r="E30" i="7"/>
  <c r="E32" i="7" s="1"/>
  <c r="E23" i="7"/>
  <c r="C33" i="7"/>
  <c r="D33" i="7"/>
  <c r="G26" i="7"/>
  <c r="G30" i="7" s="1"/>
  <c r="G32" i="7" s="1"/>
  <c r="E45" i="7"/>
  <c r="G18" i="7"/>
  <c r="G23" i="7" s="1"/>
  <c r="E50" i="7"/>
  <c r="G50" i="7" s="1"/>
  <c r="G38" i="7"/>
  <c r="G39" i="7" s="1"/>
  <c r="G45" i="7" s="1"/>
  <c r="E16" i="7"/>
  <c r="E62" i="7"/>
  <c r="E64" i="7" s="1"/>
  <c r="G7" i="7"/>
  <c r="O62" i="7"/>
  <c r="O64" i="7" s="1"/>
  <c r="C49" i="29"/>
  <c r="C56" i="29" s="1"/>
  <c r="C71" i="29" s="1"/>
  <c r="E27" i="28" s="1" a="1"/>
  <c r="E27" i="28" s="1"/>
  <c r="D41" i="22"/>
  <c r="E36" i="29"/>
  <c r="D56" i="29"/>
  <c r="D71" i="29" s="1"/>
  <c r="F36" i="29"/>
  <c r="F56" i="29"/>
  <c r="F71" i="29" s="1"/>
  <c r="K113" i="8"/>
  <c r="D84" i="8"/>
  <c r="D91" i="8" s="1"/>
  <c r="D116" i="8" s="1"/>
  <c r="F84" i="8"/>
  <c r="F91" i="8" s="1"/>
  <c r="P84" i="8"/>
  <c r="P91" i="8" s="1"/>
  <c r="G84" i="8"/>
  <c r="G91" i="8" s="1"/>
  <c r="Q84" i="8"/>
  <c r="Q91" i="8" s="1"/>
  <c r="R84" i="8"/>
  <c r="R91" i="8" s="1"/>
  <c r="I60" i="8"/>
  <c r="K60" i="8" s="1"/>
  <c r="L118" i="8"/>
  <c r="C84" i="8"/>
  <c r="C91" i="8" s="1"/>
  <c r="C116" i="8" s="1"/>
  <c r="M84" i="8"/>
  <c r="M91" i="8" s="1"/>
  <c r="M116" i="8" s="1"/>
  <c r="G53" i="7"/>
  <c r="C51" i="24"/>
  <c r="H84" i="8"/>
  <c r="H91" i="8" s="1"/>
  <c r="H116" i="8" s="1"/>
  <c r="J84" i="8"/>
  <c r="J91" i="8" s="1"/>
  <c r="J116" i="8" s="1"/>
  <c r="S113" i="8"/>
  <c r="K82" i="8"/>
  <c r="N84" i="8"/>
  <c r="N91" i="8" s="1"/>
  <c r="S60" i="8"/>
  <c r="I14" i="8"/>
  <c r="K14" i="8" s="1"/>
  <c r="K18" i="8" s="1"/>
  <c r="S26" i="8"/>
  <c r="E84" i="8"/>
  <c r="E91" i="8" s="1"/>
  <c r="E116" i="8" s="1"/>
  <c r="O84" i="8"/>
  <c r="O91" i="8" s="1"/>
  <c r="O116" i="8" s="1"/>
  <c r="S43" i="8"/>
  <c r="I43" i="8"/>
  <c r="K43" i="8" s="1"/>
  <c r="G59" i="7"/>
  <c r="G62" i="7" s="1"/>
  <c r="D36" i="29"/>
  <c r="C36" i="29"/>
  <c r="D27" i="28" s="1" a="1"/>
  <c r="D27" i="28" s="1"/>
  <c r="I26" i="8"/>
  <c r="K26" i="8" s="1"/>
  <c r="H18" i="8"/>
  <c r="D30" i="22"/>
  <c r="O51" i="7" l="1"/>
  <c r="O65" i="7" s="1"/>
  <c r="P116" i="8"/>
  <c r="P118" i="8" s="1"/>
  <c r="P123" i="8" s="1"/>
  <c r="R116" i="8"/>
  <c r="R118" i="8" s="1"/>
  <c r="R123" i="8" s="1"/>
  <c r="N116" i="8"/>
  <c r="N118" i="8" s="1"/>
  <c r="N123" i="8" s="1"/>
  <c r="Q116" i="8"/>
  <c r="Q118" i="8" s="1"/>
  <c r="Q123" i="8" s="1"/>
  <c r="F116" i="8"/>
  <c r="F118" i="8" s="1"/>
  <c r="F123" i="8" s="1"/>
  <c r="G116" i="8"/>
  <c r="G118" i="8" s="1"/>
  <c r="G123" i="8" s="1"/>
  <c r="E34" i="28"/>
  <c r="F34" i="28" s="1"/>
  <c r="D33" i="22"/>
  <c r="D35" i="22" s="1"/>
  <c r="F27" i="28"/>
  <c r="E51" i="7"/>
  <c r="G51" i="7" s="1"/>
  <c r="G16" i="7"/>
  <c r="E33" i="7"/>
  <c r="G33" i="7" s="1"/>
  <c r="M118" i="8"/>
  <c r="M123" i="8" s="1"/>
  <c r="J118" i="8"/>
  <c r="J123" i="8" s="1"/>
  <c r="E118" i="8"/>
  <c r="E123" i="8" s="1"/>
  <c r="H118" i="8"/>
  <c r="H123" i="8" s="1"/>
  <c r="H127" i="8" s="1"/>
  <c r="D118" i="8"/>
  <c r="D123" i="8" s="1"/>
  <c r="O118" i="8"/>
  <c r="O123" i="8" s="1"/>
  <c r="L123" i="8"/>
  <c r="L127" i="8" s="1"/>
  <c r="I84" i="8"/>
  <c r="K84" i="8" s="1"/>
  <c r="G64" i="7"/>
  <c r="S84" i="8"/>
  <c r="S91" i="8" s="1"/>
  <c r="I18" i="8"/>
  <c r="I91" i="8"/>
  <c r="C118" i="8"/>
  <c r="C123" i="8" s="1"/>
  <c r="C127" i="8" s="1"/>
  <c r="F127" i="8" l="1"/>
  <c r="F134" i="8" s="1"/>
  <c r="O127" i="8"/>
  <c r="O134" i="8" s="1"/>
  <c r="E127" i="8"/>
  <c r="E134" i="8" s="1"/>
  <c r="D127" i="8"/>
  <c r="D134" i="8" s="1"/>
  <c r="G127" i="8"/>
  <c r="G134" i="8" s="1"/>
  <c r="J127" i="8"/>
  <c r="J134" i="8" s="1"/>
  <c r="Q127" i="8"/>
  <c r="Q134" i="8" s="1"/>
  <c r="M127" i="8"/>
  <c r="M134" i="8" s="1"/>
  <c r="N127" i="8"/>
  <c r="N134" i="8" s="1"/>
  <c r="R127" i="8"/>
  <c r="R134" i="8" s="1"/>
  <c r="P127" i="8"/>
  <c r="P134" i="8" s="1"/>
  <c r="S116" i="8"/>
  <c r="S118" i="8" s="1"/>
  <c r="S123" i="8" s="1"/>
  <c r="K91" i="8"/>
  <c r="K116" i="8" s="1"/>
  <c r="I116" i="8"/>
  <c r="G65" i="7"/>
  <c r="E65" i="7"/>
  <c r="L134" i="8"/>
  <c r="H134" i="8"/>
  <c r="S127" i="8" l="1"/>
  <c r="S134" i="8" s="1"/>
  <c r="C134" i="8"/>
  <c r="I118" i="8"/>
  <c r="K118" i="8" s="1"/>
  <c r="F43" i="28" l="1"/>
  <c r="I123" i="8"/>
  <c r="I134" i="8"/>
  <c r="K134" i="8" s="1"/>
  <c r="K123" i="8" l="1"/>
  <c r="K127" i="8" s="1"/>
  <c r="I12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<sst xmlns="http://schemas.openxmlformats.org/spreadsheetml/2006/main" count="4405" uniqueCount="1130">
  <si>
    <t>Paragraph 3.02: Appendix A</t>
  </si>
  <si>
    <t xml:space="preserve">    CERTIFICATION STATEMENT OF</t>
  </si>
  <si>
    <t xml:space="preserve">TO THE </t>
  </si>
  <si>
    <t xml:space="preserve">       Arizona Health Care Cost Containment System</t>
  </si>
  <si>
    <t xml:space="preserve">     FOR THE QUARTER ENDED</t>
  </si>
  <si>
    <t>Name of Preparer</t>
  </si>
  <si>
    <t>Title</t>
  </si>
  <si>
    <t>Phone Number</t>
  </si>
  <si>
    <t>I hereby attest that the information submitted in the reports herein is current, complete, and</t>
  </si>
  <si>
    <t>accurate to the best of my knowledge.  I understand that whoever knowingly and willfully</t>
  </si>
  <si>
    <t>makes or causes to be made a false statement or representation on the reports may be</t>
  </si>
  <si>
    <t>prosecuted under the applicable state laws.  In addition, knowingly and willfully failing to</t>
  </si>
  <si>
    <t>fully and accurately disclose the information requested may result in denial of a request to</t>
  </si>
  <si>
    <t>participate, or where the entity already participates, a termination of a Contractor's agreement or</t>
  </si>
  <si>
    <t xml:space="preserve">contract with the Arizona Health Care Cost Containment System.  Failure to sign this Certification </t>
  </si>
  <si>
    <t xml:space="preserve">Statement, either by written or electronic signature, will result in AHCCCS' non acceptance of </t>
  </si>
  <si>
    <t>the attached reports.</t>
  </si>
  <si>
    <t>(Date Signed)</t>
  </si>
  <si>
    <t>Chief Executive Officer Signature</t>
  </si>
  <si>
    <t>Chief Executive Officer Name Printed</t>
  </si>
  <si>
    <t>Chief Financial Officer Signature</t>
  </si>
  <si>
    <t>Chief Financial Officer Name Printed</t>
  </si>
  <si>
    <t>Appendix B</t>
  </si>
  <si>
    <t>Select Contractor Name</t>
  </si>
  <si>
    <t>Financial Reporting Instructions</t>
  </si>
  <si>
    <t>Mercy Care</t>
  </si>
  <si>
    <r>
      <t xml:space="preserve">This template has been set up to mirror the Financial </t>
    </r>
    <r>
      <rPr>
        <i/>
        <sz val="11"/>
        <rFont val="Aptos Narrow"/>
        <family val="2"/>
      </rPr>
      <t>Reporting Guide for ALTCS E/PD Program Contractors.</t>
    </r>
  </si>
  <si>
    <t>Banner University Family Care</t>
  </si>
  <si>
    <r>
      <t xml:space="preserve">1.  On the </t>
    </r>
    <r>
      <rPr>
        <i/>
        <sz val="11"/>
        <rFont val="Aptos Narrow"/>
        <family val="2"/>
      </rPr>
      <t>Certification</t>
    </r>
    <r>
      <rPr>
        <sz val="11"/>
        <rFont val="Aptos Narrow"/>
        <family val="2"/>
      </rPr>
      <t xml:space="preserve"> cover sheet, fill in the Contractor name, plan number, quarter ended, preparer's information, and signatures.</t>
    </r>
  </si>
  <si>
    <t>DES-DDD</t>
  </si>
  <si>
    <r>
      <t xml:space="preserve">2. </t>
    </r>
    <r>
      <rPr>
        <b/>
        <sz val="11"/>
        <color indexed="10"/>
        <rFont val="Aptos Narrow"/>
        <family val="2"/>
      </rPr>
      <t xml:space="preserve"> Enter information in red cells only in all spreadsheets.  Each sheet must be entered separately.</t>
    </r>
  </si>
  <si>
    <t>UnitedHealthcare Community Plan</t>
  </si>
  <si>
    <t xml:space="preserve">3.  Each quarter, select the Contractor Name from the drop down menu and change "quarter ended" date in the Audit Report.  This will change information on each sheet and auto populate dates where applicable. </t>
  </si>
  <si>
    <t xml:space="preserve">4.  Prior to entering information, zero the county profitability spreadsheets and supplemental schedules (red cells only). </t>
  </si>
  <si>
    <t xml:space="preserve">     County totals roll into total profitability spreadsheet.  The totals on the total profitability spreadsheet should agree to the </t>
  </si>
  <si>
    <t xml:space="preserve">     quarterly amounts on the Balance Sheet and Income Statement.</t>
  </si>
  <si>
    <t xml:space="preserve">5.  Parent Company financial information is an additional report (balance sheet and income statement only) that should be </t>
  </si>
  <si>
    <t xml:space="preserve">     completed, if applicable.</t>
  </si>
  <si>
    <t xml:space="preserve">6.  Confirm that audit check figures below match.  If they do not match, please submit a separate enclosure explaining why the check figures </t>
  </si>
  <si>
    <t xml:space="preserve">     do not match.</t>
  </si>
  <si>
    <t>7.  Confirm Lag Report check figures match on Lag Report 4.07 tab. If they do not balance to zero, please submit a separate enclosure explaining why.</t>
  </si>
  <si>
    <t>8.  Upload an electronic copy to the Share Point, email the DHCM Program Compliance Auditor with notification of upload.</t>
  </si>
  <si>
    <t xml:space="preserve">9.  All worksheets should be submitted every quarter.  If a Profitability by GSA worksheet is not applicable (i.e. the Contractor is only contracted in one county), </t>
  </si>
  <si>
    <t xml:space="preserve">     please do not delete sheets, instead, hide the worksheets for the counties or parent company that are not applicable.</t>
  </si>
  <si>
    <t>Audit Report</t>
  </si>
  <si>
    <t>Contractor Name:</t>
  </si>
  <si>
    <t xml:space="preserve">Quarter Ended: </t>
  </si>
  <si>
    <t>mm/dd/yyyy</t>
  </si>
  <si>
    <t>Current Fiscal Year End:</t>
  </si>
  <si>
    <t>Contract Year End:</t>
  </si>
  <si>
    <t>Autopopulates - no input required</t>
  </si>
  <si>
    <t>Total Assets</t>
  </si>
  <si>
    <t>Liabilities + Total Equity</t>
  </si>
  <si>
    <t>Balance Sheet Total Assets</t>
  </si>
  <si>
    <t xml:space="preserve"> = Balance Sheet Total Liabilities + Balance Sheet Total Equity/Net Assets</t>
  </si>
  <si>
    <t>Supplemental Schedules agree to Balance Sheet and Revenue, Expense line items:</t>
  </si>
  <si>
    <t>Balance Sheet</t>
  </si>
  <si>
    <t>Supplement Schedule</t>
  </si>
  <si>
    <t>Receivables/Payables</t>
  </si>
  <si>
    <t>= Report #4.02 &amp; 4.03</t>
  </si>
  <si>
    <t>Other Assets</t>
  </si>
  <si>
    <t>= Report #4.04</t>
  </si>
  <si>
    <t>Other Liabilities</t>
  </si>
  <si>
    <t>= Report #4.05</t>
  </si>
  <si>
    <t>Long Term Debt</t>
  </si>
  <si>
    <t>= Report #4.08</t>
  </si>
  <si>
    <t>Income Statement</t>
  </si>
  <si>
    <t xml:space="preserve">Medical Loss Ratio </t>
  </si>
  <si>
    <t>Addtl Details: State Directed Payments Revenue (by contract year) = MLR H-1</t>
  </si>
  <si>
    <t>For Contractors who provide services in more than one GSA</t>
  </si>
  <si>
    <t>Yes/No</t>
  </si>
  <si>
    <t>Total Net Profit (Loss) on Income Statement #3.05</t>
  </si>
  <si>
    <t xml:space="preserve"> = Total Net Profit (Loss) on Total Profitability Report #4.10</t>
  </si>
  <si>
    <t>Paragraph 3.04: Balance Sheet</t>
  </si>
  <si>
    <t>Fiscal Year End:</t>
  </si>
  <si>
    <t>1st Qtr</t>
  </si>
  <si>
    <t>2nd Qtr</t>
  </si>
  <si>
    <t>3rd Qtr</t>
  </si>
  <si>
    <t>4th Qtr</t>
  </si>
  <si>
    <t>as of:</t>
  </si>
  <si>
    <t>BALANCE SHEET</t>
  </si>
  <si>
    <t>ASSETS</t>
  </si>
  <si>
    <t>Current Assets</t>
  </si>
  <si>
    <t>10105-01</t>
  </si>
  <si>
    <t>Cash and cash equivalents</t>
  </si>
  <si>
    <t>10110-01</t>
  </si>
  <si>
    <t>Short-term investments</t>
  </si>
  <si>
    <t>10115-01</t>
  </si>
  <si>
    <t xml:space="preserve">Capitation/Non-Title XIX/XXI Funding/ Supplement/Risk Adjustment Receivable </t>
  </si>
  <si>
    <t>10120-01</t>
  </si>
  <si>
    <t>Reinsurance Receivable</t>
  </si>
  <si>
    <t>10125-01</t>
  </si>
  <si>
    <t>Reconciliations/Settlements Receivable</t>
  </si>
  <si>
    <t>10130-01</t>
  </si>
  <si>
    <t>Investment Income Receivable</t>
  </si>
  <si>
    <t>10135-01</t>
  </si>
  <si>
    <t xml:space="preserve">Current Due from Affiliates/Other Funds </t>
  </si>
  <si>
    <t>10140-01</t>
  </si>
  <si>
    <t>Alternative Payment Model Receivable From Providers</t>
  </si>
  <si>
    <t>10145-01</t>
  </si>
  <si>
    <t>Other current assets</t>
  </si>
  <si>
    <t>Total Current Assets</t>
  </si>
  <si>
    <t>10205-01</t>
  </si>
  <si>
    <t>General Performance Bond</t>
  </si>
  <si>
    <t>10210-01</t>
  </si>
  <si>
    <t>Restricted Cash and Other Assets</t>
  </si>
  <si>
    <t>10215-01</t>
  </si>
  <si>
    <t>Long-term investments</t>
  </si>
  <si>
    <t>10220-01</t>
  </si>
  <si>
    <t xml:space="preserve">Non-current Due from Affiliates/Other Funds </t>
  </si>
  <si>
    <t>10225-01</t>
  </si>
  <si>
    <t>Other Non-Current assets</t>
  </si>
  <si>
    <t xml:space="preserve"> Total Other Assets</t>
  </si>
  <si>
    <t>Property and Equipment</t>
  </si>
  <si>
    <t>10305-01</t>
  </si>
  <si>
    <t>Land</t>
  </si>
  <si>
    <t>10305-05</t>
  </si>
  <si>
    <t>Buildings</t>
  </si>
  <si>
    <t>10305-10</t>
  </si>
  <si>
    <t>Leasehold Improvements</t>
  </si>
  <si>
    <t>10305-15</t>
  </si>
  <si>
    <t>Furniture and Equipment</t>
  </si>
  <si>
    <t>10305-20</t>
  </si>
  <si>
    <t>Other Property and Equipment</t>
  </si>
  <si>
    <t>10305-99</t>
  </si>
  <si>
    <t>Total Property and Equipment</t>
  </si>
  <si>
    <t>10330-01</t>
  </si>
  <si>
    <t>Accumulated Depreciation/Amortization</t>
  </si>
  <si>
    <t xml:space="preserve"> Net Property and Equipment</t>
  </si>
  <si>
    <t>TOTAL ASSETS</t>
  </si>
  <si>
    <t>LIABILITIES</t>
  </si>
  <si>
    <t>Current Liabilities</t>
  </si>
  <si>
    <t>20105-01</t>
  </si>
  <si>
    <t>Accounts Payable</t>
  </si>
  <si>
    <t>20110-01</t>
  </si>
  <si>
    <t>Accrued Administrative Expenses</t>
  </si>
  <si>
    <t>20115-01</t>
  </si>
  <si>
    <t>Payable to Providers</t>
  </si>
  <si>
    <t>20120-30</t>
  </si>
  <si>
    <t>Medical Claims Payable</t>
  </si>
  <si>
    <t>20120-99</t>
  </si>
  <si>
    <t>Medical Claims Payable Subtotal</t>
  </si>
  <si>
    <t>20125-01</t>
  </si>
  <si>
    <t>Reconciliations/Settlements Payable</t>
  </si>
  <si>
    <t>20130-01</t>
  </si>
  <si>
    <t>Alternative Payment Model Payable to Providers</t>
  </si>
  <si>
    <t>20135-01</t>
  </si>
  <si>
    <t>Current portion Long-term Debt</t>
  </si>
  <si>
    <t>20140-01</t>
  </si>
  <si>
    <t>Current Due to Affiliates/Other Funds</t>
  </si>
  <si>
    <t>20145-01</t>
  </si>
  <si>
    <t>Other Current Liabilities</t>
  </si>
  <si>
    <t>Total Current Liabilities</t>
  </si>
  <si>
    <t>20205-01</t>
  </si>
  <si>
    <t>Non-current Portion of Long-term Debt</t>
  </si>
  <si>
    <t>20210-01</t>
  </si>
  <si>
    <t>Non-current Due to Affiliates/Other Funds</t>
  </si>
  <si>
    <t>20215-01</t>
  </si>
  <si>
    <t>Other Non-current Liabilities</t>
  </si>
  <si>
    <t xml:space="preserve"> Total Other Liabilities</t>
  </si>
  <si>
    <t>TOTAL LIABILITIES</t>
  </si>
  <si>
    <t>EQUITY/NET ASSETS</t>
  </si>
  <si>
    <t>30105-01</t>
  </si>
  <si>
    <t>Preferred Stock</t>
  </si>
  <si>
    <t>30110-01</t>
  </si>
  <si>
    <t>Common Stock</t>
  </si>
  <si>
    <t>30115-01</t>
  </si>
  <si>
    <t>Treasury Stock</t>
  </si>
  <si>
    <t>30120-01</t>
  </si>
  <si>
    <t>Additional Paid-in Capital</t>
  </si>
  <si>
    <t>30125-01</t>
  </si>
  <si>
    <t>Contributed capital</t>
  </si>
  <si>
    <t>30130-01</t>
  </si>
  <si>
    <t>Restricted Net Assets</t>
  </si>
  <si>
    <t>30140-01</t>
  </si>
  <si>
    <t>Retained Earnings / Fund Balance- Beginning</t>
  </si>
  <si>
    <t>30140-05</t>
  </si>
  <si>
    <t xml:space="preserve">  Net Income / (Loss) YTD</t>
  </si>
  <si>
    <t>30140-15</t>
  </si>
  <si>
    <t xml:space="preserve">  Transfer in/out</t>
  </si>
  <si>
    <t>30140-99</t>
  </si>
  <si>
    <t>Retained Earnings/Fund Balance</t>
  </si>
  <si>
    <t>30150-01</t>
  </si>
  <si>
    <t>Unrealized Gains (Losses)</t>
  </si>
  <si>
    <t>TOTAL EQUITY/NET ASSETS</t>
  </si>
  <si>
    <t>TOTAL LIABILITIES &amp; EQUITY/NET ASSETS</t>
  </si>
  <si>
    <t>Paragraph 3.05: Income Statement</t>
  </si>
  <si>
    <t>YTD</t>
  </si>
  <si>
    <t>Account #</t>
  </si>
  <si>
    <t>Account Description</t>
  </si>
  <si>
    <t xml:space="preserve"> Dual Amount</t>
  </si>
  <si>
    <t xml:space="preserve"> Non Dual Amount</t>
  </si>
  <si>
    <t>Total Amount</t>
  </si>
  <si>
    <t>00999</t>
  </si>
  <si>
    <t>Total Member Months</t>
  </si>
  <si>
    <t>00305-01</t>
  </si>
  <si>
    <t xml:space="preserve">     Acute Care Member Months</t>
  </si>
  <si>
    <t>00405-01</t>
  </si>
  <si>
    <t xml:space="preserve">     HCBS Member Months</t>
  </si>
  <si>
    <t>Revenues:</t>
  </si>
  <si>
    <t>40105-01</t>
  </si>
  <si>
    <t>Capitation</t>
  </si>
  <si>
    <t>40115-01</t>
  </si>
  <si>
    <t>Alternative Payment Model Settlements</t>
  </si>
  <si>
    <t>40130-01</t>
  </si>
  <si>
    <t>Tiered Reconciliation Settlement</t>
  </si>
  <si>
    <t>40145-01</t>
  </si>
  <si>
    <t>Other Reconciliation/Settlements</t>
  </si>
  <si>
    <t>40150-01</t>
  </si>
  <si>
    <t>Share of Cost Reconciliation/Settlement (SOC)</t>
  </si>
  <si>
    <t>40165-01</t>
  </si>
  <si>
    <t>State Directed Payments Revenue</t>
  </si>
  <si>
    <t>40170-01</t>
  </si>
  <si>
    <t>Differential Adjusted Payments Revenue</t>
  </si>
  <si>
    <t>Total TXIX Revenue</t>
  </si>
  <si>
    <t>40305-01</t>
  </si>
  <si>
    <t>Investment Income</t>
  </si>
  <si>
    <t>40315-01</t>
  </si>
  <si>
    <t>Patient Contributions (MSOC)</t>
  </si>
  <si>
    <t>40310-01</t>
  </si>
  <si>
    <t>Other Income</t>
  </si>
  <si>
    <t>TOTAL REVENUES</t>
  </si>
  <si>
    <t>Institutional Care Expenses:</t>
  </si>
  <si>
    <t>50340-01a</t>
  </si>
  <si>
    <t>NF ICF &amp; Bedholds</t>
  </si>
  <si>
    <t>50340-01b</t>
  </si>
  <si>
    <t>Level I</t>
  </si>
  <si>
    <t>50340-01c</t>
  </si>
  <si>
    <t>Level II</t>
  </si>
  <si>
    <t>50340-01d</t>
  </si>
  <si>
    <t>Level III</t>
  </si>
  <si>
    <t>50340-01e</t>
  </si>
  <si>
    <t>Institutional Care</t>
  </si>
  <si>
    <t>50340-01g</t>
  </si>
  <si>
    <t>Other Institutional Care</t>
  </si>
  <si>
    <t>50349-01</t>
  </si>
  <si>
    <t>TOTAL INSTITUTIONAL CARE</t>
  </si>
  <si>
    <t>Home &amp; Community Based Services (HCBS) Expenses:</t>
  </si>
  <si>
    <t>50340-05a</t>
  </si>
  <si>
    <t>Home Health Nurse</t>
  </si>
  <si>
    <t>50340-05b</t>
  </si>
  <si>
    <t>Home Health Aide</t>
  </si>
  <si>
    <t>50340-05c</t>
  </si>
  <si>
    <t>Personal Care</t>
  </si>
  <si>
    <t>50340-05d</t>
  </si>
  <si>
    <t>Homemaker</t>
  </si>
  <si>
    <t>50340-05e</t>
  </si>
  <si>
    <t>Home Delivered Meals</t>
  </si>
  <si>
    <t>50340-05f</t>
  </si>
  <si>
    <t>Respite Care</t>
  </si>
  <si>
    <t>50340-05g</t>
  </si>
  <si>
    <t>Attendant Care</t>
  </si>
  <si>
    <t>50340-05h</t>
  </si>
  <si>
    <t>Assisted Living Home</t>
  </si>
  <si>
    <t>50340-05i</t>
  </si>
  <si>
    <t>Assisted Living Center</t>
  </si>
  <si>
    <t>50340-05j</t>
  </si>
  <si>
    <t>Adult Day Health</t>
  </si>
  <si>
    <t>50340-05k</t>
  </si>
  <si>
    <t>Adult Foster Care</t>
  </si>
  <si>
    <t>50340-05l</t>
  </si>
  <si>
    <t>Group Respite</t>
  </si>
  <si>
    <t>50340-05m</t>
  </si>
  <si>
    <t>Hospice</t>
  </si>
  <si>
    <t>50340-05n</t>
  </si>
  <si>
    <t>Environmental Modifications</t>
  </si>
  <si>
    <t>50340-05p</t>
  </si>
  <si>
    <t>Other HCBS Expense</t>
  </si>
  <si>
    <t>50349-05</t>
  </si>
  <si>
    <t>Total Home &amp; Community Based Services (HCBS)</t>
  </si>
  <si>
    <t>Acute Care Expenses:</t>
  </si>
  <si>
    <t>50105-01</t>
  </si>
  <si>
    <t>Hospital Inpatient</t>
  </si>
  <si>
    <t>50110-01</t>
  </si>
  <si>
    <t>Hospital Inpatient - Behavioral Health Services</t>
  </si>
  <si>
    <t>50205-01</t>
  </si>
  <si>
    <t>Primary Care Physician Services</t>
  </si>
  <si>
    <t>50210-01</t>
  </si>
  <si>
    <t>Behavioral Health Physician Services</t>
  </si>
  <si>
    <t>50215-01</t>
  </si>
  <si>
    <t>Referral Physician Services</t>
  </si>
  <si>
    <t>50220-01</t>
  </si>
  <si>
    <t>FQHC/RHC Services</t>
  </si>
  <si>
    <t>50305-01</t>
  </si>
  <si>
    <t>Emergency Facility Services</t>
  </si>
  <si>
    <t>50310-01</t>
  </si>
  <si>
    <t>Pharmacy</t>
  </si>
  <si>
    <t>50315-01</t>
  </si>
  <si>
    <t>Laboratory, Radiology &amp; Medical Imaging</t>
  </si>
  <si>
    <t>50320-01</t>
  </si>
  <si>
    <t>Outpatient Facility</t>
  </si>
  <si>
    <t>50320-05</t>
  </si>
  <si>
    <t>Outpatient Behavioral Health Facility</t>
  </si>
  <si>
    <t>50325-01</t>
  </si>
  <si>
    <t>Durable Medical Equipment</t>
  </si>
  <si>
    <t>50330-01</t>
  </si>
  <si>
    <t xml:space="preserve">Dental </t>
  </si>
  <si>
    <t>50335-01</t>
  </si>
  <si>
    <t>Transportation</t>
  </si>
  <si>
    <t>50345-01</t>
  </si>
  <si>
    <t>Therapies</t>
  </si>
  <si>
    <t>TOTAL ACUTE CARE</t>
  </si>
  <si>
    <t>Other Medical Expenses:</t>
  </si>
  <si>
    <t>50350-01</t>
  </si>
  <si>
    <t>Alternative Payment Model Performance Based Payments to Providers</t>
  </si>
  <si>
    <t>50350-05</t>
  </si>
  <si>
    <t>Provider Payments Attributable to State Directed Payments</t>
  </si>
  <si>
    <t>50350-10</t>
  </si>
  <si>
    <t>Differential Adjusted Payments to Providers</t>
  </si>
  <si>
    <t>50355-01</t>
  </si>
  <si>
    <t>Behavioral Health Day Program</t>
  </si>
  <si>
    <t>50355-05</t>
  </si>
  <si>
    <t>Behavioral Health Case Management Services</t>
  </si>
  <si>
    <t>50355-06</t>
  </si>
  <si>
    <t>Peer/Family Support</t>
  </si>
  <si>
    <t>50355-07</t>
  </si>
  <si>
    <t>Support Services</t>
  </si>
  <si>
    <t>50355-11</t>
  </si>
  <si>
    <t>Living Skills Training</t>
  </si>
  <si>
    <t>50355-12</t>
  </si>
  <si>
    <t>Supported Employment</t>
  </si>
  <si>
    <t>50355-15</t>
  </si>
  <si>
    <t>Behavioral Health Rehabilitation Services</t>
  </si>
  <si>
    <t>50355-20</t>
  </si>
  <si>
    <t>Behavioral Health Residential Services</t>
  </si>
  <si>
    <t>50355-21</t>
  </si>
  <si>
    <t>Counseling</t>
  </si>
  <si>
    <t>50355-22</t>
  </si>
  <si>
    <t>Assessment, Evaluation and Screening</t>
  </si>
  <si>
    <t>50355-23</t>
  </si>
  <si>
    <t>Treatment Services</t>
  </si>
  <si>
    <t>50355-25</t>
  </si>
  <si>
    <t>All Other Behavioral Health Services</t>
  </si>
  <si>
    <t>50355-30</t>
  </si>
  <si>
    <t>Crisis Intervention - Mobile</t>
  </si>
  <si>
    <t>50355-35</t>
  </si>
  <si>
    <t>Crisis Intervention - Stabilization</t>
  </si>
  <si>
    <t>50355-40</t>
  </si>
  <si>
    <t>Crisis Intervention - Telephone</t>
  </si>
  <si>
    <t>50355-45</t>
  </si>
  <si>
    <t>Total Crisis Intervention Services</t>
  </si>
  <si>
    <t>50370-01</t>
  </si>
  <si>
    <t>Other Medical Expenses</t>
  </si>
  <si>
    <t>TOTAL OTHER MEDICAL EXPENSES</t>
  </si>
  <si>
    <t>50365-01</t>
  </si>
  <si>
    <t>Case Management</t>
  </si>
  <si>
    <t>TOTAL PH MEDICAL EXPENSES</t>
  </si>
  <si>
    <t xml:space="preserve">   Less:</t>
  </si>
  <si>
    <t>70105-01</t>
  </si>
  <si>
    <t>Reinsurance Recoveries</t>
  </si>
  <si>
    <t>70205-02</t>
  </si>
  <si>
    <t>Third Party Liability Recoveries</t>
  </si>
  <si>
    <t>70305-01</t>
  </si>
  <si>
    <t>Claim Overpayment Recoveries</t>
  </si>
  <si>
    <t>70310-05</t>
  </si>
  <si>
    <t>Pharmacy Rebate</t>
  </si>
  <si>
    <t>70310-10</t>
  </si>
  <si>
    <t>Pharmacy Performance Guarantees</t>
  </si>
  <si>
    <t>TOTAL NET MEDICAL EXP</t>
  </si>
  <si>
    <t>Administrative Expenses:</t>
  </si>
  <si>
    <t>80105-01</t>
  </si>
  <si>
    <t>Compensation</t>
  </si>
  <si>
    <t>80205-01</t>
  </si>
  <si>
    <t xml:space="preserve">Occupancy </t>
  </si>
  <si>
    <t>80305-01</t>
  </si>
  <si>
    <t xml:space="preserve">Depreciation </t>
  </si>
  <si>
    <t>80405-01</t>
  </si>
  <si>
    <t>Care Management/Care Coordination</t>
  </si>
  <si>
    <t>80505-01</t>
  </si>
  <si>
    <t>Professional and Outside Services</t>
  </si>
  <si>
    <t>80605-01</t>
  </si>
  <si>
    <t>Office Supplies and Equipment</t>
  </si>
  <si>
    <t>80705-01</t>
  </si>
  <si>
    <t>Travel</t>
  </si>
  <si>
    <t>80805-01</t>
  </si>
  <si>
    <t>Repair and Maintenance</t>
  </si>
  <si>
    <t>80905-01</t>
  </si>
  <si>
    <t>Bank Service Charge</t>
  </si>
  <si>
    <t>81005-01</t>
  </si>
  <si>
    <t>Insurance</t>
  </si>
  <si>
    <t>81105-01</t>
  </si>
  <si>
    <t>Marketing</t>
  </si>
  <si>
    <t>81205-01</t>
  </si>
  <si>
    <t>Interest Expense</t>
  </si>
  <si>
    <t>81305-01</t>
  </si>
  <si>
    <t>Pharmacy Benefit Manager Expenses</t>
  </si>
  <si>
    <t>81405-01</t>
  </si>
  <si>
    <t>Fraud Reduction Expenses</t>
  </si>
  <si>
    <t>81505-01</t>
  </si>
  <si>
    <t>Third Party Activities</t>
  </si>
  <si>
    <t>81605-01</t>
  </si>
  <si>
    <t>Sub Capitation Block Administrative</t>
  </si>
  <si>
    <t>81705-01</t>
  </si>
  <si>
    <t xml:space="preserve">Health Care Quality Improvement </t>
  </si>
  <si>
    <t>81810-01</t>
  </si>
  <si>
    <t>Program Integrity Fraud, Waste and Abuse Prevention Expenses</t>
  </si>
  <si>
    <t>82505-01</t>
  </si>
  <si>
    <t>Interpretation/Translation Services</t>
  </si>
  <si>
    <t>83005-01</t>
  </si>
  <si>
    <t>Other Administrative Expenses</t>
  </si>
  <si>
    <t>TOTAL ADMINISTRATIVE EXPENSE</t>
  </si>
  <si>
    <t>90205-01</t>
  </si>
  <si>
    <t>Premium Tax</t>
  </si>
  <si>
    <t>TOTAL EXPENSES</t>
  </si>
  <si>
    <t>PROFIT (LOSS) FROM OPERATIONS</t>
  </si>
  <si>
    <t>88999-01</t>
  </si>
  <si>
    <t>Non-Operations - Investment Income</t>
  </si>
  <si>
    <t>88999-02</t>
  </si>
  <si>
    <t>Non-Operations - Other</t>
  </si>
  <si>
    <t>PROFIT (LOSS) FROM NON-OPERATIONS</t>
  </si>
  <si>
    <t>PROFIT (LOSS) BEFORE TAXES</t>
  </si>
  <si>
    <t>90105-01</t>
  </si>
  <si>
    <t>Income Tax</t>
  </si>
  <si>
    <t>NET PROFIT (LOSS) AFTER TAXES</t>
  </si>
  <si>
    <t>990105-01</t>
  </si>
  <si>
    <t>Community Reinvestment</t>
  </si>
  <si>
    <t>990205-01</t>
  </si>
  <si>
    <t>Non Covered Services</t>
  </si>
  <si>
    <t>990305-01</t>
  </si>
  <si>
    <t>Unreimbursed Performance Based Payments</t>
  </si>
  <si>
    <t>990405-01</t>
  </si>
  <si>
    <t>Value-Added Services</t>
  </si>
  <si>
    <t>NET PROFIT (LOSS) AFTER 990xxx-xx ACCOUNTS</t>
  </si>
  <si>
    <t>Paragraph 3.06: Footnotes</t>
  </si>
  <si>
    <t>As Of:</t>
  </si>
  <si>
    <t>Instructions:</t>
  </si>
  <si>
    <t xml:space="preserve">1. Yellow highlighted fields indicate a drop down selection. </t>
  </si>
  <si>
    <t>2. Blue fields indicate areas to be filled by the MCO</t>
  </si>
  <si>
    <r>
      <t xml:space="preserve">3. Red fields indicate a footnote is required and the field will turn white when a footnote is provided. </t>
    </r>
    <r>
      <rPr>
        <b/>
        <sz val="11"/>
        <color rgb="FFFF0000"/>
        <rFont val="Aptos Narrow"/>
        <family val="2"/>
      </rPr>
      <t>T</t>
    </r>
    <r>
      <rPr>
        <b/>
        <i/>
        <sz val="11"/>
        <color rgb="FFFF0000"/>
        <rFont val="Aptos Narrow"/>
        <family val="2"/>
      </rPr>
      <t xml:space="preserve">he financial reporting package will be rejected upon receipt if it is submitted with red fields. </t>
    </r>
  </si>
  <si>
    <t>4. Gray fields indicate a footnote is not required.</t>
  </si>
  <si>
    <t>4. Type footnotes in the first cell of the area provided.</t>
  </si>
  <si>
    <t>1. Organization Structure</t>
  </si>
  <si>
    <t>Discuss the organization structure, location of its headquarters, and a brief summary of the operations of the Contractor</t>
  </si>
  <si>
    <t xml:space="preserve">2. Summary of Significant Accounting Policies </t>
  </si>
  <si>
    <t>Are there any changes in accounting methodologies, including cost allocation changes, which have taken place during the current contract year?</t>
  </si>
  <si>
    <t>Select Yes/No</t>
  </si>
  <si>
    <t>Summarize any significant accounting policies. Please insert as many rows as needed.</t>
  </si>
  <si>
    <r>
      <t xml:space="preserve">3.  Pledges, Assignments, and Guarantees: </t>
    </r>
    <r>
      <rPr>
        <b/>
        <sz val="11"/>
        <color rgb="FFFF0000"/>
        <rFont val="Aptos Narrow"/>
        <family val="2"/>
      </rPr>
      <t>ANNUAL FINANCIAL REPORTING TEMPLATE ONLY</t>
    </r>
  </si>
  <si>
    <t>Are there any pledges, assignments or collateralized asses and any guaranteed liabilities not disclosed on the balance sheet?</t>
  </si>
  <si>
    <t>4. Material Adjustments</t>
  </si>
  <si>
    <t>Are there any material adjustments made during the current reporting quarter?</t>
  </si>
  <si>
    <t>5. Medical Claims Payable Analysis</t>
  </si>
  <si>
    <t>Address changes of more than 10% (on per member per month basis). Include discussions related to IBNR. Explanations should detail the amount of the adjustments by quarter and by risk group.</t>
  </si>
  <si>
    <t xml:space="preserve">The current and prior quarter amounts will auto populate from the FS-Balance Sheet 3.04 and FS-Income Statement 3.05 tabs. Manual entry is required if the prior quarter is not reported in this template. </t>
  </si>
  <si>
    <t>Previous Reporting Quarter</t>
  </si>
  <si>
    <t>Current Reporting Quarter</t>
  </si>
  <si>
    <t>Account Balance</t>
  </si>
  <si>
    <t>PMPM</t>
  </si>
  <si>
    <t>$ Change</t>
  </si>
  <si>
    <t>% Change</t>
  </si>
  <si>
    <t>6. Contingent Liabilities</t>
  </si>
  <si>
    <t>Were there any malpractice or other claims asserted against the contractor?</t>
  </si>
  <si>
    <t>7. Investments</t>
  </si>
  <si>
    <t>Are there any long-term investments that qualify for treatment as a current asset per the Financial Reporting Guide (Refer to 3.06 Footnote Disclosures, Footnote 7)?</t>
  </si>
  <si>
    <t>Long Term Investments</t>
  </si>
  <si>
    <t>Asset Type</t>
  </si>
  <si>
    <t>Restricted/Unrestricted</t>
  </si>
  <si>
    <t>Amount</t>
  </si>
  <si>
    <t>Unrealized Gain/(Loss)</t>
  </si>
  <si>
    <t>Total Long Term Investments</t>
  </si>
  <si>
    <t>8. Due from/to Affiliates (current and non-current)</t>
  </si>
  <si>
    <t>Describe, in detail, the composition of the due to/from affiliates including the name of the affiliate, a description of the affiliation, amount due to/from the affiliate and a written description of any change in balances due from/to each affiliate.</t>
  </si>
  <si>
    <t>Previous Quarter</t>
  </si>
  <si>
    <t>Current Quarter</t>
  </si>
  <si>
    <t>Affiliate</t>
  </si>
  <si>
    <t>Q/Q Change</t>
  </si>
  <si>
    <t>Explanation of Change</t>
  </si>
  <si>
    <t>Account 10135-01 Current Due from Affiliates/Other Funds</t>
  </si>
  <si>
    <t>Subtotal</t>
  </si>
  <si>
    <t>Account  20140-01 Current Due to Affiliates/Other Funds (Enter amounts as negative)</t>
  </si>
  <si>
    <t>Total</t>
  </si>
  <si>
    <t>9. Equity Activity</t>
  </si>
  <si>
    <t>Disclose and provide a written explanation for all activity in equity during the quarter, other than net income or net loss.</t>
  </si>
  <si>
    <t>Transaction Date(s)</t>
  </si>
  <si>
    <t>Unrealized Gain/(Loss)
A/C #30150-01</t>
  </si>
  <si>
    <t>Equity Distributions/Infusions
(Transfer In &amp; Out)
A/C #30140-15</t>
  </si>
  <si>
    <t>Profit (Loss)
A/C #30140-05</t>
  </si>
  <si>
    <t>Equity Change</t>
  </si>
  <si>
    <t>Notes/Comments:</t>
  </si>
  <si>
    <t>10. Non-Compliance with Financial Viability Standards and Performance Guidelines</t>
  </si>
  <si>
    <t xml:space="preserve">Contract YTD Profit/(Loss) requires manual input. Financial Viability Standards auto populates from the Financial Viability E tab. </t>
  </si>
  <si>
    <t>Disclose any non-compliance with Financial Viability Standards and Performance Guidelines</t>
  </si>
  <si>
    <t>Current Ratio</t>
  </si>
  <si>
    <t>Standard: At least 1.00</t>
  </si>
  <si>
    <t>Factors causing non-compliance:</t>
  </si>
  <si>
    <t>Plan of action to resolve issue:</t>
  </si>
  <si>
    <t>Equity Per Member - Unrestricted Equity</t>
  </si>
  <si>
    <t>Required Equity - Standard: At least $2,000/member</t>
  </si>
  <si>
    <t>Contract YTD Administrative Cost %</t>
  </si>
  <si>
    <t>Standard: No more than 8%</t>
  </si>
  <si>
    <t>MLR</t>
  </si>
  <si>
    <t>Standard: At least 85%</t>
  </si>
  <si>
    <t>Contract YTD Profit/(Loss)</t>
  </si>
  <si>
    <t>Unrelated to any prior year activity</t>
  </si>
  <si>
    <t>11. Changes in Financial Statement Line Items</t>
  </si>
  <si>
    <t>Please use the FN 11 Balance Sheet and FN 11 Income Statement tabs</t>
  </si>
  <si>
    <t>12. Accrued Sanctions</t>
  </si>
  <si>
    <t>Were there any accrued sanctions, fines or penalties assessed by AHCCCS or another regulatory authority</t>
  </si>
  <si>
    <t>Type</t>
  </si>
  <si>
    <t>Incurred Quarter</t>
  </si>
  <si>
    <t>AHCCCS</t>
  </si>
  <si>
    <t>Other Regulatory</t>
  </si>
  <si>
    <t xml:space="preserve"> </t>
  </si>
  <si>
    <t>Total For Quarter</t>
  </si>
  <si>
    <t>Total for Quarter</t>
  </si>
  <si>
    <t>13. Member and Provider Incentives</t>
  </si>
  <si>
    <t>Were there any gift cards given to members as a result of flu vaccinations funded by the AHCCCS Roll Up Your Sleeve incentive?</t>
  </si>
  <si>
    <t>Current Quarter Amount</t>
  </si>
  <si>
    <t>Current Contract Year to Date Amount</t>
  </si>
  <si>
    <r>
      <t xml:space="preserve">Were there any </t>
    </r>
    <r>
      <rPr>
        <b/>
        <sz val="11"/>
        <rFont val="Aptos Narrow"/>
        <family val="2"/>
      </rPr>
      <t>PROVIDER</t>
    </r>
    <r>
      <rPr>
        <sz val="11"/>
        <rFont val="Aptos Narrow"/>
        <family val="2"/>
      </rPr>
      <t xml:space="preserve"> incentives reported for the period?</t>
    </r>
  </si>
  <si>
    <t>Current Contract Year:</t>
  </si>
  <si>
    <t>Quarter</t>
  </si>
  <si>
    <t>Provider</t>
  </si>
  <si>
    <t>Incentive Type</t>
  </si>
  <si>
    <t>Select Quarter</t>
  </si>
  <si>
    <r>
      <t xml:space="preserve">Were there any </t>
    </r>
    <r>
      <rPr>
        <b/>
        <sz val="11"/>
        <rFont val="Aptos Narrow"/>
        <family val="2"/>
      </rPr>
      <t>MEMBER</t>
    </r>
    <r>
      <rPr>
        <sz val="11"/>
        <rFont val="Aptos Narrow"/>
        <family val="2"/>
      </rPr>
      <t xml:space="preserve"> incentives reported for the period?</t>
    </r>
  </si>
  <si>
    <t>Risk Group</t>
  </si>
  <si>
    <t>Previous Contract Year:</t>
  </si>
  <si>
    <t>14. Prior Contract Year/Prior Period Adjustments</t>
  </si>
  <si>
    <t>Were there any prior contract year adjustments?</t>
  </si>
  <si>
    <t>Adjustment Amount</t>
  </si>
  <si>
    <t>Contract Year</t>
  </si>
  <si>
    <t>Explanation for Adjustment.  Include why the adjustment was needed.</t>
  </si>
  <si>
    <r>
      <t xml:space="preserve">15. Premium Deficiency Reserve: </t>
    </r>
    <r>
      <rPr>
        <b/>
        <sz val="11"/>
        <color rgb="FFFF0000"/>
        <rFont val="Aptos Narrow"/>
        <family val="2"/>
      </rPr>
      <t>ANNUAL FINANCIAL REPORTING TEMPLATE ONLY</t>
    </r>
  </si>
  <si>
    <t>Was there a premium deficiency reserve booked for the year or a change to previously booked reserves?</t>
  </si>
  <si>
    <t>Cumulative Amount</t>
  </si>
  <si>
    <r>
      <t xml:space="preserve">16.  Social Risk Factors: </t>
    </r>
    <r>
      <rPr>
        <b/>
        <sz val="11"/>
        <color rgb="FFFF0000"/>
        <rFont val="Aptos Narrow"/>
        <family val="2"/>
      </rPr>
      <t xml:space="preserve">ANNUAL FINANCIAL REPORTING TEMPLATE ONLY </t>
    </r>
  </si>
  <si>
    <t>Select Fiscal Year End from the dropdown menu and provide the Social Risk Factor and Health Equity activities expended in the fiscal year by quarter and fund source:</t>
  </si>
  <si>
    <t>Fiscal Year End Totals</t>
  </si>
  <si>
    <t>Program</t>
  </si>
  <si>
    <t>Account Line #</t>
  </si>
  <si>
    <t>G&amp;A</t>
  </si>
  <si>
    <t xml:space="preserve">Medical </t>
  </si>
  <si>
    <t>Totals</t>
  </si>
  <si>
    <r>
      <t xml:space="preserve">17. Management Fees: </t>
    </r>
    <r>
      <rPr>
        <b/>
        <sz val="11"/>
        <color rgb="FFFF0000"/>
        <rFont val="Aptos Narrow"/>
        <family val="2"/>
      </rPr>
      <t>ANNUAL FINANCIAL REPORTING TEMPLATE ONLY</t>
    </r>
  </si>
  <si>
    <t>Does the MCO have a Management Service Agreement?</t>
  </si>
  <si>
    <t xml:space="preserve">Management Fee Percentage by Quarter: </t>
  </si>
  <si>
    <t>Quarter Ended</t>
  </si>
  <si>
    <t xml:space="preserve">Fee Percentage: </t>
  </si>
  <si>
    <t>Disclose the quarterly amounts expended for Management Fees on a fiscal year-to-date basis</t>
  </si>
  <si>
    <t>Management Fee Allocation</t>
  </si>
  <si>
    <t>Administrative Expenses</t>
  </si>
  <si>
    <t>Occupancy</t>
  </si>
  <si>
    <t>Depreciation</t>
  </si>
  <si>
    <t xml:space="preserve">Interest Expense </t>
  </si>
  <si>
    <t>Sub Capitation Block Administration</t>
  </si>
  <si>
    <t>Health Care Quality Improvement</t>
  </si>
  <si>
    <t>18. Non-Operating Profit (Loss)</t>
  </si>
  <si>
    <t>Provide a breakdown by activity for all non-operating profit(loss):</t>
  </si>
  <si>
    <t>Description</t>
  </si>
  <si>
    <t>Total Non-Operating Profit/(Loss)</t>
  </si>
  <si>
    <t>19. Other Disclosures</t>
  </si>
  <si>
    <t>All relevant and necessary information for the understanding of a Contractor's financial statements must be included. To be consistent with GAAP's full disclosure principle, provide any disclosure(s) that were not specifically requested by AHCCCS.</t>
  </si>
  <si>
    <t>Disclosure(s)</t>
  </si>
  <si>
    <t>Paragraph 3.06: Footnote 11 - Balance Sheet</t>
  </si>
  <si>
    <t xml:space="preserve">As Of: </t>
  </si>
  <si>
    <t xml:space="preserve">1. The current and prior quarter amounts will auto populate from the FS-Balance Sheet 3.04 tab. Manual entry is required if the prior quarter is not reported in this template. </t>
  </si>
  <si>
    <t xml:space="preserve">2. If a footnote disclosure is required, Column I will indicate yes or no and the corresponding account number in  the Footnote 11 Disclosure table below the balance sheet will highlight red. </t>
  </si>
  <si>
    <r>
      <t xml:space="preserve">3. Red fields indicate a footnote is required and the field will turn white when a footnote is provided. </t>
    </r>
    <r>
      <rPr>
        <b/>
        <i/>
        <sz val="11"/>
        <color rgb="FFFF0000"/>
        <rFont val="Aptos Narrow"/>
        <family val="2"/>
      </rPr>
      <t xml:space="preserve">The financial reporting package will be rejected upon receipt if it is submitted with red fields. </t>
    </r>
  </si>
  <si>
    <t>5. Type footnotes in the first cell of the area provided.</t>
  </si>
  <si>
    <t>Prior Quarter</t>
  </si>
  <si>
    <t>Qtr/Qtr $ Change</t>
  </si>
  <si>
    <t>Qtr/Qtr % Change</t>
  </si>
  <si>
    <t>Prior Qtr % of Category</t>
  </si>
  <si>
    <t>Current Qtr % of Category</t>
  </si>
  <si>
    <t>Footnote Disclosure Required?</t>
  </si>
  <si>
    <t>A footnote disclosure is required for any red highlighted rows</t>
  </si>
  <si>
    <t>Account Number</t>
  </si>
  <si>
    <t>Footnote 11 Disclosure</t>
  </si>
  <si>
    <t>Paragraph 3.06: Footnote 11 - Income Statement</t>
  </si>
  <si>
    <t xml:space="preserve">1. The current and prior quarter amounts will auto populate from the FS-Income Statement 3.05 tab. Manual entry is required if the prior quarter is not reported in this template. </t>
  </si>
  <si>
    <t xml:space="preserve">2. If a footnote disclosure is required, Column K will indicate yes or no and the corresponding account number in  the Footnote 11 Disclosure table below the balance sheet will highlight red. </t>
  </si>
  <si>
    <t>Prior Qtr % of Revenue</t>
  </si>
  <si>
    <t>Current Qtr % of Revenue</t>
  </si>
  <si>
    <t>Prior Quarter PMPM</t>
  </si>
  <si>
    <t>Current Quarter PMPM</t>
  </si>
  <si>
    <t>Qtr/Qtr PMPM $ Change</t>
  </si>
  <si>
    <t>Qtr/Qtr PMPM % Change</t>
  </si>
  <si>
    <t>REVENUES &amp; EXPENSES</t>
  </si>
  <si>
    <t>Member Months</t>
  </si>
  <si>
    <t xml:space="preserve">    Total Member Months</t>
  </si>
  <si>
    <t>Paragraph 5.05: Ratio Analysis</t>
  </si>
  <si>
    <t>Enter all account balances as they appear on your statements. The formulas account for the sign change that needs to occur.</t>
  </si>
  <si>
    <t xml:space="preserve">Current Assets 10199 </t>
  </si>
  <si>
    <r>
      <t xml:space="preserve">Due from affiliate 10135-01 </t>
    </r>
    <r>
      <rPr>
        <b/>
        <i/>
        <sz val="11"/>
        <rFont val="Aptos Narrow"/>
        <family val="2"/>
      </rPr>
      <t>(</t>
    </r>
    <r>
      <rPr>
        <b/>
        <i/>
        <sz val="11"/>
        <color rgb="FFFF0000"/>
        <rFont val="Aptos Narrow"/>
        <family val="2"/>
      </rPr>
      <t>unless waiver approved to include in calculation</t>
    </r>
    <r>
      <rPr>
        <b/>
        <i/>
        <sz val="11"/>
        <rFont val="Aptos Narrow"/>
        <family val="2"/>
      </rPr>
      <t>)</t>
    </r>
  </si>
  <si>
    <t>Long Term Investments 10215-01 (if quick asset)</t>
  </si>
  <si>
    <t xml:space="preserve">Current Assets   </t>
  </si>
  <si>
    <t>Current Liabilities 20199</t>
  </si>
  <si>
    <t>Current Ratio (At least 1.00)</t>
  </si>
  <si>
    <t>Equity 39991</t>
  </si>
  <si>
    <t>Less: General Performance Bond (on balance sheet) 10205-01</t>
  </si>
  <si>
    <t xml:space="preserve">Less: Investment in Sub/Affiliates, if applicable </t>
  </si>
  <si>
    <t xml:space="preserve">Less: Goodwill and adjustments  to assets as result of a purchase, if applicable  </t>
  </si>
  <si>
    <t>Less: Intangible Assets as result of a purchase, if applicable</t>
  </si>
  <si>
    <r>
      <t xml:space="preserve">Less: Due from Affiliates </t>
    </r>
    <r>
      <rPr>
        <b/>
        <i/>
        <sz val="11"/>
        <rFont val="Aptos Narrow"/>
        <family val="2"/>
      </rPr>
      <t>(</t>
    </r>
    <r>
      <rPr>
        <b/>
        <i/>
        <sz val="11"/>
        <color rgb="FFFF0000"/>
        <rFont val="Aptos Narrow"/>
        <family val="2"/>
      </rPr>
      <t>unless waiver approved to include in calculation</t>
    </r>
    <r>
      <rPr>
        <b/>
        <i/>
        <sz val="11"/>
        <rFont val="Aptos Narrow"/>
        <family val="2"/>
      </rPr>
      <t>)</t>
    </r>
  </si>
  <si>
    <t>Less: Restricted Assets</t>
  </si>
  <si>
    <t>Equity Available For Equity Per Member Requirements</t>
  </si>
  <si>
    <t>Members End Period</t>
  </si>
  <si>
    <t>Less:  Required Equity - Standard: $2,000 per member</t>
  </si>
  <si>
    <t xml:space="preserve">Unrestricted Equity </t>
  </si>
  <si>
    <t>Administrative Cost Percentage</t>
  </si>
  <si>
    <t>Contract YTD</t>
  </si>
  <si>
    <t>Total Admin Expense 84999</t>
  </si>
  <si>
    <r>
      <t xml:space="preserve"> </t>
    </r>
    <r>
      <rPr>
        <b/>
        <sz val="11"/>
        <color rgb="FFFF0000"/>
        <rFont val="Aptos Narrow"/>
        <family val="2"/>
      </rPr>
      <t>Contract YTD</t>
    </r>
    <r>
      <rPr>
        <b/>
        <sz val="11"/>
        <rFont val="Aptos Narrow"/>
        <family val="2"/>
      </rPr>
      <t xml:space="preserve"> Total Administrative Expense</t>
    </r>
  </si>
  <si>
    <t>Prospective Capitation 40105-01</t>
  </si>
  <si>
    <t xml:space="preserve">Alternative Payment Model Settlements 40115-01 </t>
  </si>
  <si>
    <t>Tiered Reconciliation Settlement 40130-01</t>
  </si>
  <si>
    <t>Share of Cost Reconciliation/Settlement (SOC) 40150-01</t>
  </si>
  <si>
    <t>Other Reconciliation/Settlements 40145-01</t>
  </si>
  <si>
    <t>Patient Contributions (MSOC) 40315-01</t>
  </si>
  <si>
    <t>Reinsurance 70105-01</t>
  </si>
  <si>
    <t>Premium Taxes 90205-01</t>
  </si>
  <si>
    <r>
      <rPr>
        <b/>
        <sz val="11"/>
        <color rgb="FFFF0000"/>
        <rFont val="Aptos Narrow"/>
        <family val="2"/>
      </rPr>
      <t xml:space="preserve">Contract YTD </t>
    </r>
    <r>
      <rPr>
        <b/>
        <sz val="11"/>
        <rFont val="Aptos Narrow"/>
        <family val="2"/>
      </rPr>
      <t xml:space="preserve">Operating Revenue </t>
    </r>
  </si>
  <si>
    <t>Administrative Cost Percentage (No greater than 8%)</t>
  </si>
  <si>
    <t>Paragraphs 4.02 and 4.03: Receivables / Payables Report</t>
  </si>
  <si>
    <t>Confirm that audit check figures below match.  If they do not match, please verify accuracy of your input or submit a separate enclosure explaining why the check figures do not match.</t>
  </si>
  <si>
    <t>Auto Populates</t>
  </si>
  <si>
    <t>Account 10115-01 - Capitation/Non-Title XIX/XXI Funding/Supplement/Risk Adj Receivable (by contract year)</t>
  </si>
  <si>
    <t>Audit Check</t>
  </si>
  <si>
    <t>CYXX</t>
  </si>
  <si>
    <t>{Include Program Name} Receivable</t>
  </si>
  <si>
    <t>Account 10125-01 - Reconciliations/Settlements Receivable (by contract year)</t>
  </si>
  <si>
    <t>CYE 23</t>
  </si>
  <si>
    <t>ALTCS/EPD Tiered</t>
  </si>
  <si>
    <t>CYE 24</t>
  </si>
  <si>
    <t>CYE 25</t>
  </si>
  <si>
    <t>ALTCS/EPD SOC</t>
  </si>
  <si>
    <r>
      <t>DDD Recon (</t>
    </r>
    <r>
      <rPr>
        <b/>
        <sz val="11"/>
        <color rgb="FFFF0000"/>
        <rFont val="Aptos Narrow"/>
        <family val="2"/>
      </rPr>
      <t>DDD Only</t>
    </r>
    <r>
      <rPr>
        <sz val="11"/>
        <rFont val="Aptos Narrow"/>
        <family val="2"/>
      </rPr>
      <t>)</t>
    </r>
  </si>
  <si>
    <r>
      <t>DDD Recon (</t>
    </r>
    <r>
      <rPr>
        <b/>
        <sz val="11"/>
        <color rgb="FFFF0000"/>
        <rFont val="Aptos Narrow"/>
        <family val="2"/>
      </rPr>
      <t>DDD Only</t>
    </r>
    <r>
      <rPr>
        <sz val="11"/>
        <color rgb="FFFF0000"/>
        <rFont val="Aptos Narrow"/>
        <family val="2"/>
      </rPr>
      <t>)</t>
    </r>
  </si>
  <si>
    <t>Performance Based Payments</t>
  </si>
  <si>
    <t>APM Withhold/Incentive</t>
  </si>
  <si>
    <t>COVID 19 Vaccine Settlement</t>
  </si>
  <si>
    <r>
      <t>Subcontractor Recon (</t>
    </r>
    <r>
      <rPr>
        <b/>
        <sz val="11"/>
        <color rgb="FFFF0000"/>
        <rFont val="Aptos Narrow"/>
        <family val="2"/>
      </rPr>
      <t>DDD Only</t>
    </r>
    <r>
      <rPr>
        <sz val="11"/>
        <rFont val="Aptos Narrow"/>
        <family val="2"/>
      </rPr>
      <t>)</t>
    </r>
  </si>
  <si>
    <r>
      <t>Subcontractor Recon (</t>
    </r>
    <r>
      <rPr>
        <b/>
        <sz val="11"/>
        <color rgb="FFFF0000"/>
        <rFont val="Aptos Narrow"/>
        <family val="2"/>
      </rPr>
      <t>DDD Only</t>
    </r>
    <r>
      <rPr>
        <sz val="11"/>
        <color rgb="FFFF0000"/>
        <rFont val="Aptos Narrow"/>
        <family val="2"/>
      </rPr>
      <t>)</t>
    </r>
  </si>
  <si>
    <t>Account 20115-01 -Payable to Providers (by contract year)</t>
  </si>
  <si>
    <t>Account 20125-01 - Reconciliations/Settlements Payable (by contract year)</t>
  </si>
  <si>
    <t>Paragraph 4.04: Other Assets Report</t>
  </si>
  <si>
    <t>Account: #10145-01 - Other Current Assets</t>
  </si>
  <si>
    <t>Due From:</t>
  </si>
  <si>
    <t>CYE XX</t>
  </si>
  <si>
    <t>Select One</t>
  </si>
  <si>
    <t>Other Current Assets 1</t>
  </si>
  <si>
    <t>Other Current Assets 2</t>
  </si>
  <si>
    <t>APSI</t>
  </si>
  <si>
    <t>PSI</t>
  </si>
  <si>
    <t>HEALTHII</t>
  </si>
  <si>
    <t>SNSI</t>
  </si>
  <si>
    <t>CYE 22</t>
  </si>
  <si>
    <t>ARP</t>
  </si>
  <si>
    <t>Targeted Investments</t>
  </si>
  <si>
    <t>Account: #10225-01 -  Other Non-Current Assets</t>
  </si>
  <si>
    <t>Other Non-Current Assets 1</t>
  </si>
  <si>
    <t>Other Non-Current Assets 2</t>
  </si>
  <si>
    <t>Account: #10305-20 - Other Property and Equipment</t>
  </si>
  <si>
    <t>Paragraph 4.05: Other Liabilities Report</t>
  </si>
  <si>
    <t>Account 20145-01 Other Current Liabilities</t>
  </si>
  <si>
    <t>Due To:</t>
  </si>
  <si>
    <t>Other Current Liabilities 1</t>
  </si>
  <si>
    <t>Other Current Liabilities 2</t>
  </si>
  <si>
    <t>Subtotal:</t>
  </si>
  <si>
    <t>Account 20215-01 Other Non-Current Liabilities</t>
  </si>
  <si>
    <t>Other Non-Current Liabilities 1</t>
  </si>
  <si>
    <t>Other Non-Current Liabilities 2</t>
  </si>
  <si>
    <t>Total:</t>
  </si>
  <si>
    <t xml:space="preserve">Paragraph 4.06: Alternative Payment Model Payable to Providers </t>
  </si>
  <si>
    <t>Account 10140-01 Alternative Payment Model Receivable From Providers (by provider by contract year)</t>
  </si>
  <si>
    <t>Account 20130-01 Current Alternative Payment Model Payable To Providers (by provider by contract year)</t>
  </si>
  <si>
    <t>Account 20215-01 Non Current Value Based Purchasing Payable</t>
  </si>
  <si>
    <t>Paragraph 4.08: Long Term Debt Report</t>
  </si>
  <si>
    <t>Lender Name</t>
  </si>
  <si>
    <t>Account: #20135-01 - Current Portion of Long Term Debt</t>
  </si>
  <si>
    <t>Account: #20205-01 - Non-Current Portion of Long Term Debt</t>
  </si>
  <si>
    <t>Paragraph 4.07: Lag Report for Medical Claims Payable</t>
  </si>
  <si>
    <t>Claim Quarter</t>
  </si>
  <si>
    <t>Current</t>
  </si>
  <si>
    <t>1st Prior</t>
  </si>
  <si>
    <t>2nd Prior</t>
  </si>
  <si>
    <t>3rd Prior</t>
  </si>
  <si>
    <t>4th Prior</t>
  </si>
  <si>
    <t>5th Prior</t>
  </si>
  <si>
    <t>6th Prior</t>
  </si>
  <si>
    <t>7th Prior</t>
  </si>
  <si>
    <t>Before 7th Prior*</t>
  </si>
  <si>
    <t>Payment Quarter</t>
  </si>
  <si>
    <t>Actual Paid Adj.</t>
  </si>
  <si>
    <t>Total Paid</t>
  </si>
  <si>
    <t>Ultimate Adj.</t>
  </si>
  <si>
    <t>IBNR</t>
  </si>
  <si>
    <t>RBUC Payable</t>
  </si>
  <si>
    <t>Claims Ultimate</t>
  </si>
  <si>
    <t>Claims Payable</t>
  </si>
  <si>
    <t>* Amounts in this column or row include all previous quarters with remaining claims reserved/estimated claims payable</t>
  </si>
  <si>
    <t>Expense Per I/S</t>
  </si>
  <si>
    <t>Total Institutional Exp</t>
  </si>
  <si>
    <t>Total HCBS</t>
  </si>
  <si>
    <t>Total Acute Care</t>
  </si>
  <si>
    <t>A/C 50399 Total Other Medical Expenses</t>
  </si>
  <si>
    <t>Subtotal expense</t>
  </si>
  <si>
    <t>Less A/C 50350 APM Provider Expense</t>
  </si>
  <si>
    <t>Less Subcapitated Expenses</t>
  </si>
  <si>
    <t>Medical expense per F/S</t>
  </si>
  <si>
    <t>Expense Per Lag</t>
  </si>
  <si>
    <t>Difference</t>
  </si>
  <si>
    <t>Tie to Balance Sheet</t>
  </si>
  <si>
    <t xml:space="preserve">Medical Claims Payable </t>
  </si>
  <si>
    <t>Total Remaining Liability (per Lag above)</t>
  </si>
  <si>
    <t xml:space="preserve">Difference </t>
  </si>
  <si>
    <t>Paragraph 3.01: Other Account Report</t>
  </si>
  <si>
    <t>As of:</t>
  </si>
  <si>
    <t>Other Revenue</t>
  </si>
  <si>
    <t>Account: #40145-01  - Other Reconciliation/Settlements</t>
  </si>
  <si>
    <t>Account: #40310-01 - Other Income</t>
  </si>
  <si>
    <t>Other Expenses</t>
  </si>
  <si>
    <t xml:space="preserve">Account: #50340-01g - Other Institutional Care </t>
  </si>
  <si>
    <t>Account: #50340-05p - Other HCBS Expense</t>
  </si>
  <si>
    <t>Account: #50355-25 - All Other Behavioral Health Services</t>
  </si>
  <si>
    <t>Account: #50370-01 - Other Medical Expenses</t>
  </si>
  <si>
    <t>Account: #83005-01 - Other Administrative Expenses</t>
  </si>
  <si>
    <t xml:space="preserve">Paragraph 4.21: Additional Details Report </t>
  </si>
  <si>
    <t>Administrative</t>
  </si>
  <si>
    <t>Health Care Quality Improvement (Include all items in account 81705-01 or in the medical expenses, by account number)</t>
  </si>
  <si>
    <t>Fiscal YTD</t>
  </si>
  <si>
    <t>Description of HCQI Item</t>
  </si>
  <si>
    <t>Account Number in Financial Statements</t>
  </si>
  <si>
    <t>Medical or Administrative Expense</t>
  </si>
  <si>
    <t>Procedure Code (Indicate N/A, if not encounterable)</t>
  </si>
  <si>
    <t>Account 990205-01 Non-Covered Services (Include all items in account)</t>
  </si>
  <si>
    <t xml:space="preserve">Income Statement </t>
  </si>
  <si>
    <t>Non-Covered Services Description</t>
  </si>
  <si>
    <t>Acct 990405-01 Value-Added Services (Include all items in account)</t>
  </si>
  <si>
    <t>Value-Added Services Description</t>
  </si>
  <si>
    <t>Acct 40165-01 State Directed Payments Revenue (by contract year)</t>
  </si>
  <si>
    <t>Annual Adjustments</t>
  </si>
  <si>
    <t>Incurred Basis</t>
  </si>
  <si>
    <t>State Directed Payments Revenue Description</t>
  </si>
  <si>
    <t>CYE 22 APSI</t>
  </si>
  <si>
    <t>CYE 23 APSI</t>
  </si>
  <si>
    <t>CYE 24 APSI</t>
  </si>
  <si>
    <t>CYE 22 PSI</t>
  </si>
  <si>
    <t>CYE 23 PSI</t>
  </si>
  <si>
    <t>CYE 24 PSI</t>
  </si>
  <si>
    <t>CYE 22 HEALTHII</t>
  </si>
  <si>
    <t>CYE 23 HEALTHII</t>
  </si>
  <si>
    <t>CYE 24 HEALTHII</t>
  </si>
  <si>
    <t>CYE 22 HCBS</t>
  </si>
  <si>
    <t>CYE 23 HCBS</t>
  </si>
  <si>
    <t>CYE 24 HCBS</t>
  </si>
  <si>
    <t>CYE 22 ARP</t>
  </si>
  <si>
    <t>CYE 23 ARP</t>
  </si>
  <si>
    <t>CYE 24 ARP</t>
  </si>
  <si>
    <t>CYE 22 Targeted Investments</t>
  </si>
  <si>
    <t>CYE 23 Targeted Investments</t>
  </si>
  <si>
    <t>CYE 24 Targeted Investments</t>
  </si>
  <si>
    <t>Paragraph 4.10</t>
  </si>
  <si>
    <t>Profitability Report - Statement of Revenues and Expenses for all Geographic Service Areas (GSAs)</t>
  </si>
  <si>
    <t>Total GSAs</t>
  </si>
  <si>
    <t>Profitability Report - Statement of Revenues and Expenses for Central GSAs (GSA 40 Pinal/Gila &amp; GSA 52 Maricopa)</t>
  </si>
  <si>
    <t>Total for Central GSAs</t>
  </si>
  <si>
    <t>Profitability Report - Statement of Revenues and Expenses for South GSAs (GSA 46 Cochise/Graham/Greenlee, GSA 42 Yuma/La Paz and  GSA 50 Pima/Santa Cruz)</t>
  </si>
  <si>
    <t>Total for South GSAs</t>
  </si>
  <si>
    <t>Profitability Report - Statement of Revenues and Expenses for North GSAs (GSA 44 Apache/Coconino/Mohave/Navajo &amp; GSA 48 Yavapai)</t>
  </si>
  <si>
    <t>Total for North GSAs</t>
  </si>
  <si>
    <t>Paragraph 4.11: Sub-Capitated / Block Purchase Expenses Report</t>
  </si>
  <si>
    <t>Sub-Capitated Expenses</t>
  </si>
  <si>
    <t>Contract Year To Date Amount</t>
  </si>
  <si>
    <t>Behavioral Health Hospital Inpatient</t>
  </si>
  <si>
    <t xml:space="preserve">Other Medical Expenses </t>
  </si>
  <si>
    <t>Total Sub-Capitated  Expenses</t>
  </si>
  <si>
    <t>Block Purchase Expenses</t>
  </si>
  <si>
    <t>Total Block Purchase Expenses</t>
  </si>
  <si>
    <t>Sub-Capitated and Block Detail Expense Totals</t>
  </si>
  <si>
    <t>Income Statement 
Audit Check</t>
  </si>
  <si>
    <t>Total Block and Subcapitated Medical Expenses</t>
  </si>
  <si>
    <r>
      <t>81605-01</t>
    </r>
    <r>
      <rPr>
        <vertAlign val="superscript"/>
        <sz val="11"/>
        <rFont val="Aptos Narrow"/>
        <family val="2"/>
      </rPr>
      <t>1</t>
    </r>
  </si>
  <si>
    <t>Total Block, Subcapitated and Administration Expenses</t>
  </si>
  <si>
    <r>
      <rPr>
        <vertAlign val="superscript"/>
        <sz val="11"/>
        <rFont val="Aptos Narrow"/>
        <family val="2"/>
      </rPr>
      <t xml:space="preserve">1 </t>
    </r>
    <r>
      <rPr>
        <sz val="11"/>
        <rFont val="Aptos Narrow"/>
        <family val="2"/>
      </rPr>
      <t>This line needs to tie to line 81605-01 on the Income Statement.</t>
    </r>
  </si>
  <si>
    <t>Contract Year to Date Sub-Capitated/Block &amp; Admin by Provider</t>
  </si>
  <si>
    <t>Provider Name</t>
  </si>
  <si>
    <r>
      <t xml:space="preserve">Sub-Capitated &amp; Block Purchase CYTD Amount </t>
    </r>
    <r>
      <rPr>
        <b/>
        <vertAlign val="superscript"/>
        <sz val="11"/>
        <color theme="0"/>
        <rFont val="Aptos Narrow"/>
        <family val="2"/>
      </rPr>
      <t>1</t>
    </r>
  </si>
  <si>
    <t>Does this provider provide services through employees or through a network of contracted providers? If through a network of providers, enter amount for administrative or delegated activities not attributable to the direct provision of Medicaid covered services to Medicaid enrollees into column F)</t>
  </si>
  <si>
    <t>Did the amounts paid to Sub-Capitated and Block Purchase Contractors that provide services through the employees of the Sub-Capitated and Block Purchase Sub-Contractors include any administrative or delegated activities not attributable to the direct provision of Medicaid covered services to Medicaid enrollees?(If Yes, enter amount into column F)</t>
  </si>
  <si>
    <t>Sub-Capitated, Block Purchase or both?</t>
  </si>
  <si>
    <r>
      <t xml:space="preserve">CYTD Sub Capitation Block Administration reported in A/C 81605-01 </t>
    </r>
    <r>
      <rPr>
        <b/>
        <vertAlign val="superscript"/>
        <sz val="11"/>
        <color theme="0"/>
        <rFont val="Aptos Narrow"/>
        <family val="2"/>
      </rPr>
      <t>2</t>
    </r>
  </si>
  <si>
    <t>Yes</t>
  </si>
  <si>
    <t>Employees</t>
  </si>
  <si>
    <t>Sub-Capitated</t>
  </si>
  <si>
    <t>No</t>
  </si>
  <si>
    <t>Network</t>
  </si>
  <si>
    <t>Block Purchase</t>
  </si>
  <si>
    <t>Both</t>
  </si>
  <si>
    <t>Note:</t>
  </si>
  <si>
    <r>
      <rPr>
        <vertAlign val="superscript"/>
        <sz val="11"/>
        <color theme="1"/>
        <rFont val="Aptos Narrow"/>
        <family val="2"/>
      </rPr>
      <t xml:space="preserve">1 </t>
    </r>
    <r>
      <rPr>
        <sz val="11"/>
        <color theme="1"/>
        <rFont val="Aptos Narrow"/>
        <family val="2"/>
      </rPr>
      <t>The total amount in column B should tie to the Annual Sub Capitated &amp; Block Expense schedule(s)</t>
    </r>
  </si>
  <si>
    <r>
      <rPr>
        <vertAlign val="superscript"/>
        <sz val="11"/>
        <color theme="1"/>
        <rFont val="Aptos Narrow"/>
        <family val="2"/>
      </rPr>
      <t>2</t>
    </r>
    <r>
      <rPr>
        <sz val="11"/>
        <color theme="1"/>
        <rFont val="Aptos Narrow"/>
        <family val="2"/>
      </rPr>
      <t xml:space="preserve"> The total amount in column F should tie to the Sub Capitation Block Administration amount reported in A/C 81605-01 in the YTD CYE financial statements. </t>
    </r>
  </si>
  <si>
    <t>Examples of direct provision of Medicaid covered services to Medicaid enrollees: Medical care and treatment provided by a Primary Care Provider (PCP), attending physician, or dentist or by a nurse or other health related professional and technical personnel at the direction/order of a licensed physician or dentist.</t>
  </si>
  <si>
    <t>Examples of administrative functions/delegated managed care activities CMS considers non-claim costs:  Amounts paid under a sub-capitated arrangement for secondary network savings; Network development; Claims processing; Utilization review/management; Eligibility and coverage verification; Fines and Penalties; Professional services or Administrative services that do not represent compensation or reimbursement for State Plan services; Activities designed primarily to control or contain costs; 	Expenses allocated to non-Medicaid lines of business; Provider credentialing; Marketing expenses; Costs associated with administering enrollee incentives; Expenditures for Health Information Technology not meeting the requirements of 45 CFR §158.151; and PBM administrative and spread costs.</t>
  </si>
  <si>
    <t>Paragraph 4.12: Prior Contract Year Adjustment Schedule-Balance Sheet</t>
  </si>
  <si>
    <t>Amount Related</t>
  </si>
  <si>
    <t>Total
Adjustments</t>
  </si>
  <si>
    <t>to Prior</t>
  </si>
  <si>
    <t>Paragraph 4.12: Prior Contract Year Adjustment - Income Statement</t>
  </si>
  <si>
    <t>Contract Year:</t>
  </si>
  <si>
    <t>Quarter Ended:</t>
  </si>
  <si>
    <t>PPA Totals</t>
  </si>
  <si>
    <t>Paragraph 4.18</t>
  </si>
  <si>
    <t>Insert Parent Company Balance Sheet and Income Statement pursuant to Paragraph 4.18</t>
  </si>
  <si>
    <t>Paragraph 4.17 Annual Audited Reconciliation Report</t>
  </si>
  <si>
    <t>1.)</t>
  </si>
  <si>
    <r>
      <t xml:space="preserve">The fourth quarter balance sheet and fourth quarter year to date income statement </t>
    </r>
    <r>
      <rPr>
        <i/>
        <sz val="11"/>
        <rFont val="Aptos Narrow"/>
        <family val="2"/>
      </rPr>
      <t>MUST</t>
    </r>
    <r>
      <rPr>
        <sz val="11"/>
        <rFont val="Aptos Narrow"/>
        <family val="2"/>
      </rPr>
      <t xml:space="preserve"> tie to the amounts originally submitted.  </t>
    </r>
  </si>
  <si>
    <t>2.)</t>
  </si>
  <si>
    <r>
      <t xml:space="preserve">In addition to summary level audit adjustments, please submit detailed line level entries on the </t>
    </r>
    <r>
      <rPr>
        <strike/>
        <sz val="11"/>
        <color rgb="FFFF0000"/>
        <rFont val="Aptos Narrow"/>
        <family val="2"/>
      </rPr>
      <t>entry</t>
    </r>
    <r>
      <rPr>
        <sz val="11"/>
        <color theme="1"/>
        <rFont val="Aptos Narrow"/>
        <family val="2"/>
      </rPr>
      <t xml:space="preserve"> </t>
    </r>
    <r>
      <rPr>
        <sz val="11"/>
        <color rgb="FFFF0000"/>
        <rFont val="Aptos Narrow"/>
        <family val="2"/>
      </rPr>
      <t xml:space="preserve"> Annual - Entries F-1c</t>
    </r>
    <r>
      <rPr>
        <sz val="11"/>
        <color theme="1"/>
        <rFont val="Aptos Narrow"/>
        <family val="2"/>
      </rPr>
      <t xml:space="preserve"> tab. </t>
    </r>
    <r>
      <rPr>
        <sz val="11"/>
        <color rgb="FFFF0000"/>
        <rFont val="Aptos Narrow"/>
        <family val="2"/>
      </rPr>
      <t>All  entries must balance and the complete entry must be provided.</t>
    </r>
  </si>
  <si>
    <t>3.)</t>
  </si>
  <si>
    <t xml:space="preserve">Please only submit the ALTCS E/PD line of business.  </t>
  </si>
  <si>
    <t>4.)</t>
  </si>
  <si>
    <r>
      <t xml:space="preserve">Draft and Final audit columns </t>
    </r>
    <r>
      <rPr>
        <i/>
        <sz val="11"/>
        <rFont val="Aptos Narrow"/>
        <family val="2"/>
      </rPr>
      <t>MUST</t>
    </r>
    <r>
      <rPr>
        <sz val="11"/>
        <rFont val="Aptos Narrow"/>
        <family val="2"/>
      </rPr>
      <t xml:space="preserve"> tie to the draft and final audit submitted.  </t>
    </r>
  </si>
  <si>
    <t>5.)</t>
  </si>
  <si>
    <t xml:space="preserve">There are audit caption columns for the balance sheet and income statement.  Replace these captions with your plan's specific audit captions.  Working horizontally, provide the mapping for the AHCCCS financial statement lines to the financial statement lines contained on the audit.  The audit captions total at the bottom should tie to the audited financials.  If you need more captions, feel free to add a column.  </t>
  </si>
  <si>
    <t>6.)</t>
  </si>
  <si>
    <t>On the income statement, when possible, report the adjustment/reclass by the quarter it is related to.  If the adjustment can not be identified by quarter, spread the adjustment/reclass evenly over the four periods.</t>
  </si>
  <si>
    <t>7.)</t>
  </si>
  <si>
    <t>Entry Explanation found on Entries F-1c should provide a reasonable explanation for the audit entry, including identifying accrual entries, reclassifications, and changes to expenses. Explanations provided should be as detailed as on the auditors work papers to ensure AHCCCS can easily determine the reason for the entry.</t>
  </si>
  <si>
    <t>8.)</t>
  </si>
  <si>
    <t>In the Reclass or Adjustment column, select whether this is a reclass for presentation purposes only or a true audit adjustment. Reclasses for presentation purposes only are defined as reclasses not occurring within the companies general ledger.</t>
  </si>
  <si>
    <t>Paragraph 4.17</t>
  </si>
  <si>
    <t>(For Annual Financial Reporting Only)</t>
  </si>
  <si>
    <t>Audit Captions</t>
  </si>
  <si>
    <t>4th</t>
  </si>
  <si>
    <t>Audit</t>
  </si>
  <si>
    <t>Draft</t>
  </si>
  <si>
    <t>Final</t>
  </si>
  <si>
    <t>Adjustments</t>
  </si>
  <si>
    <t>Caption 1</t>
  </si>
  <si>
    <t>Caption2</t>
  </si>
  <si>
    <t>Caption 3</t>
  </si>
  <si>
    <t>Caption 4</t>
  </si>
  <si>
    <t>Caption 5</t>
  </si>
  <si>
    <t>Caption 6</t>
  </si>
  <si>
    <t>Caption 7</t>
  </si>
  <si>
    <t>Current Assets:</t>
  </si>
  <si>
    <t>Total Current Assets:</t>
  </si>
  <si>
    <t>Other Assets:</t>
  </si>
  <si>
    <t xml:space="preserve">General Performance Bond </t>
  </si>
  <si>
    <t xml:space="preserve">Restricted Cash and Other Assets </t>
  </si>
  <si>
    <t xml:space="preserve">Long-Term Investments </t>
  </si>
  <si>
    <t>Non-Current Due from Affiliates/Other Funds</t>
  </si>
  <si>
    <t>Other Non-Current Assets</t>
  </si>
  <si>
    <t>Total Other Assets</t>
  </si>
  <si>
    <t>Furniture &amp; Equipment</t>
  </si>
  <si>
    <t>Other Property &amp; Equipment</t>
  </si>
  <si>
    <t>Net Property &amp; Equipment:</t>
  </si>
  <si>
    <t>Total Assets:</t>
  </si>
  <si>
    <t>Current Liabilities:</t>
  </si>
  <si>
    <t xml:space="preserve">Reconciliations/Settlements Payable </t>
  </si>
  <si>
    <t xml:space="preserve">Alternative Payment Model Payable to Providers </t>
  </si>
  <si>
    <t xml:space="preserve">Current Portion Long-Term Debt </t>
  </si>
  <si>
    <t xml:space="preserve">Other Current Liabilities </t>
  </si>
  <si>
    <t>Total Current Liabilities:</t>
  </si>
  <si>
    <t>Other Liabilities:</t>
  </si>
  <si>
    <t xml:space="preserve">Non-Current Portion of Long-Term Debt </t>
  </si>
  <si>
    <t>Non-Current Due to Affiliates/Other Funds</t>
  </si>
  <si>
    <t xml:space="preserve">Other Non-Current Liabilities </t>
  </si>
  <si>
    <t>Total Other Liabilities:</t>
  </si>
  <si>
    <t>Total Liabilities:</t>
  </si>
  <si>
    <t>Equity/Net Assets (Liabilities):</t>
  </si>
  <si>
    <t>See Appendix F for Instructions</t>
  </si>
  <si>
    <t>Audit Adjustments</t>
  </si>
  <si>
    <t>Line Item</t>
  </si>
  <si>
    <t xml:space="preserve">Line Item </t>
  </si>
  <si>
    <t>Reference</t>
  </si>
  <si>
    <t>Debit</t>
  </si>
  <si>
    <t>Credit</t>
  </si>
  <si>
    <t>Entry Explanation</t>
  </si>
  <si>
    <t>Reclass or Adjustment</t>
  </si>
  <si>
    <t>Paragraph 5.04</t>
  </si>
  <si>
    <t>Auto populates (No Input Required)</t>
  </si>
  <si>
    <t>Input Adjustments To Specific Quarter if Applicable</t>
  </si>
  <si>
    <t>Input Adjustments Not Specific to a Known Quarter</t>
  </si>
  <si>
    <t>CYTD</t>
  </si>
  <si>
    <t>After
Audit Adjustments</t>
  </si>
  <si>
    <t>Due From Affiliate 10135-01 (unless waiver approved to include in calculation)</t>
  </si>
  <si>
    <t>Less: General Performance Bond (off balance sheet) 10205-01</t>
  </si>
  <si>
    <t>Less: Due from Affiliates (unless waiver approved to include in calculation)</t>
  </si>
  <si>
    <t>Unrestricted Equity</t>
  </si>
  <si>
    <t>Title XIX/XXI Members Enrolled End of the Period</t>
  </si>
  <si>
    <t>Equity Per Member (At least $2,000)</t>
  </si>
  <si>
    <t xml:space="preserve">Title XIX/XXI Administrative Cost Percentage </t>
  </si>
  <si>
    <t xml:space="preserve">   Total Title XIX/XXI Admin Expense 84999</t>
  </si>
  <si>
    <r>
      <rPr>
        <b/>
        <sz val="11"/>
        <color rgb="FFFF0000"/>
        <rFont val="Aptos Narrow"/>
        <family val="2"/>
      </rPr>
      <t>Contract YTD</t>
    </r>
    <r>
      <rPr>
        <b/>
        <sz val="11"/>
        <rFont val="Aptos Narrow"/>
        <family val="2"/>
      </rPr>
      <t xml:space="preserve"> Total Administrative Expense</t>
    </r>
  </si>
  <si>
    <t xml:space="preserve">   Prospective Capitation 40105-01</t>
  </si>
  <si>
    <t xml:space="preserve">   Alternative Payment Model Settlements 40115-01 </t>
  </si>
  <si>
    <t xml:space="preserve">  Tiered Reconciliation Settlement 40130-01</t>
  </si>
  <si>
    <t xml:space="preserve">  Share of Cost Reconciliation/Settlement (SOC) 40150-01</t>
  </si>
  <si>
    <t xml:space="preserve">  Other Reconciliation/Settlements 40145-01</t>
  </si>
  <si>
    <t xml:space="preserve">  Patient Contributions (MSOC) 40315-01</t>
  </si>
  <si>
    <t xml:space="preserve">  Reinsurance 70105-01</t>
  </si>
  <si>
    <t xml:space="preserve">  Premium Taxes 90205-01</t>
  </si>
  <si>
    <r>
      <t xml:space="preserve">     </t>
    </r>
    <r>
      <rPr>
        <b/>
        <sz val="11"/>
        <rFont val="Aptos Narrow"/>
        <family val="2"/>
      </rPr>
      <t xml:space="preserve">Operating Revenue </t>
    </r>
  </si>
  <si>
    <t xml:space="preserve">Paragraph 4.19: Medical Loss Ratio Report </t>
  </si>
  <si>
    <t xml:space="preserve">NOTES: Do not duplicate any amounts in multiple lines.  </t>
  </si>
  <si>
    <t xml:space="preserve">Contract Year End: </t>
  </si>
  <si>
    <t>For additional MLR guidance please refer to AHCCCS' website.</t>
  </si>
  <si>
    <t xml:space="preserve">GAAP Basis (Columns H - L) should agree to the submitted financial statements. </t>
  </si>
  <si>
    <t>GAAP Basis</t>
  </si>
  <si>
    <r>
      <t>Annual Adjustments</t>
    </r>
    <r>
      <rPr>
        <b/>
        <vertAlign val="superscript"/>
        <sz val="11"/>
        <color theme="0"/>
        <rFont val="Aptos Narrow"/>
        <family val="2"/>
      </rPr>
      <t>1</t>
    </r>
  </si>
  <si>
    <r>
      <t>Annual Adjustments</t>
    </r>
    <r>
      <rPr>
        <b/>
        <vertAlign val="superscript"/>
        <sz val="11"/>
        <color theme="0"/>
        <rFont val="Aptos Narrow"/>
        <family val="2"/>
      </rPr>
      <t>2</t>
    </r>
  </si>
  <si>
    <r>
      <rPr>
        <i/>
        <u/>
        <sz val="11"/>
        <color rgb="FFFF0000"/>
        <rFont val="Aptos Narrow"/>
        <family val="2"/>
      </rPr>
      <t>USE FOR ANNUAL REPORT ONLY</t>
    </r>
    <r>
      <rPr>
        <vertAlign val="superscript"/>
        <sz val="11"/>
        <color rgb="FFFF0000"/>
        <rFont val="Aptos Narrow"/>
        <family val="2"/>
      </rPr>
      <t>1,2</t>
    </r>
    <r>
      <rPr>
        <sz val="11"/>
        <rFont val="Aptos Narrow"/>
        <family val="2"/>
      </rPr>
      <t xml:space="preserve"> - Adjustment columns should report prior year adjustments (Column M) and true up any estimates (Column N) to present on an incurred date of service basis.  Any adjustments to be deducted should be entered as a negative number.</t>
    </r>
  </si>
  <si>
    <t>MLR Category</t>
  </si>
  <si>
    <t>Citation</t>
  </si>
  <si>
    <t>Format of Amount to be Entered</t>
  </si>
  <si>
    <t>Line #</t>
  </si>
  <si>
    <t xml:space="preserve">Detail </t>
  </si>
  <si>
    <t>Specific Applicability to Line of Business</t>
  </si>
  <si>
    <t>Financial Statement Account # (If applicable)</t>
  </si>
  <si>
    <t>Premium Revenue</t>
  </si>
  <si>
    <t>Revenue</t>
  </si>
  <si>
    <t>Include</t>
  </si>
  <si>
    <t>42 CFR§438.8(f)(2)(i)</t>
  </si>
  <si>
    <t>+</t>
  </si>
  <si>
    <t xml:space="preserve">Prospective Capitation </t>
  </si>
  <si>
    <t>ALL</t>
  </si>
  <si>
    <t>Include full capitation including 1% withhold payment. Exclude State Directed Payments revenue (reported in line 16) and risk adjustment revenue (reported in line 6).</t>
  </si>
  <si>
    <t>42 CFR§438.8(f)(2)(iii)</t>
  </si>
  <si>
    <t>+/-</t>
  </si>
  <si>
    <t>APM 1% Withhold Settlement 42 CFR 438.6(b)(3) and Performance Based Payments (PBP) contribution by AHCCCS</t>
  </si>
  <si>
    <t>ACC/ALTCS E/PD (ACOM 306)
ALL - PBP</t>
  </si>
  <si>
    <r>
      <rPr>
        <sz val="11"/>
        <color rgb="FF000000"/>
        <rFont val="Aptos Narrow"/>
        <family val="2"/>
      </rPr>
      <t xml:space="preserve">Include Alternative Payment Model (APM) settlements related to Withholds, Incentives (see ACOM 306) and Performance Based Payments. </t>
    </r>
    <r>
      <rPr>
        <sz val="11"/>
        <color rgb="FFFF0000"/>
        <rFont val="Aptos Narrow"/>
        <family val="2"/>
      </rPr>
      <t xml:space="preserve">Allocate VBP/APM by contract year in alignment with the VBP/APM Certification deliverable  </t>
    </r>
    <r>
      <rPr>
        <sz val="11"/>
        <color rgb="FF000000"/>
        <rFont val="Aptos Narrow"/>
        <family val="2"/>
      </rPr>
      <t>(see ACOM 307</t>
    </r>
    <r>
      <rPr>
        <sz val="11"/>
        <color rgb="FFFF0000"/>
        <rFont val="Aptos Narrow"/>
        <family val="2"/>
      </rPr>
      <t>).</t>
    </r>
    <r>
      <rPr>
        <sz val="11"/>
        <color rgb="FF000000"/>
        <rFont val="Aptos Narrow"/>
        <family val="2"/>
      </rPr>
      <t xml:space="preserve">  Unearned withhold should be deducted. Earned incentive should be added.  </t>
    </r>
  </si>
  <si>
    <t>42 CFR§438.8(f)(2)(ii)</t>
  </si>
  <si>
    <t xml:space="preserve">Delivery Supplement </t>
  </si>
  <si>
    <t>ACC/ACC-RBHA</t>
  </si>
  <si>
    <t>40120-01</t>
  </si>
  <si>
    <t>42 CFR§438.8(f)(2)(iv)</t>
  </si>
  <si>
    <t xml:space="preserve">Unpaid Cost Sharing Amounts </t>
  </si>
  <si>
    <t>Include unpaid cost-sharing amounts that could have been collected from enrollees under the contract, except those amounts that can be shown it made a reasonable, but unsuccessful, effort to collect.</t>
  </si>
  <si>
    <t>42 CFR§438.8(f)(2)(v)</t>
  </si>
  <si>
    <t xml:space="preserve">Changes to Unearned Premium Reserves </t>
  </si>
  <si>
    <t>Include adjustments to Deferred Revenue</t>
  </si>
  <si>
    <t>42 CFR§438.8 (f)(2)(vi)</t>
  </si>
  <si>
    <t>Reserved</t>
  </si>
  <si>
    <t>Prospective Tiered</t>
  </si>
  <si>
    <t>ACC/ACC-RBHA/ALTCS E/PD</t>
  </si>
  <si>
    <t>40130-01, 40135-01</t>
  </si>
  <si>
    <t>Other Reconciliation Settlements</t>
  </si>
  <si>
    <t xml:space="preserve">Include other reconciliation settlements like APSI settlement (see ACOM 325).  Do not include monthly premium component of APSI. </t>
  </si>
  <si>
    <t>Share of Cost (SOC) Settlement</t>
  </si>
  <si>
    <t>ALTCS E/PD</t>
  </si>
  <si>
    <t xml:space="preserve">Other Income </t>
  </si>
  <si>
    <t>Other income should not include any types of non-operating income such as gain on sale, etc.</t>
  </si>
  <si>
    <t>Patient Contributions</t>
  </si>
  <si>
    <t>Other Accruals (Explain below)</t>
  </si>
  <si>
    <t>42 CFR § 438.8(e)(2)(i)(A)</t>
  </si>
  <si>
    <t>State Directed Payments Revenue (Excluding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</si>
  <si>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SNSI,</t>
    </r>
    <r>
      <rPr>
        <sz val="11"/>
        <color rgb="FF000000"/>
        <rFont val="Aptos Narrow"/>
        <family val="2"/>
      </rPr>
      <t xml:space="preserve"> HEATLHII, ARP and Targeted Investments State Directed Payments.  </t>
    </r>
  </si>
  <si>
    <t>42 CFR§438.6(c)(1)(iii)(B)</t>
  </si>
  <si>
    <t>Differential Adjusted Payments Revenue (Excluding Premium Tax)</t>
  </si>
  <si>
    <t>Total Premium Revenue</t>
  </si>
  <si>
    <t xml:space="preserve"> Should agree to 40105-01  through 40315-01</t>
  </si>
  <si>
    <t>Taxes, Licensing and Regulatory Fees</t>
  </si>
  <si>
    <t>42 CFR§438.8(f)(3)(iii)</t>
  </si>
  <si>
    <t>Federal Income &amp; Federal Tax (include Tax Benefit)</t>
  </si>
  <si>
    <t>Exclude Federal income taxes and tax benefit on investment income, capital gains and Federal employment taxes.</t>
  </si>
  <si>
    <t>42 CFR§438.8(f)(3)</t>
  </si>
  <si>
    <t xml:space="preserve">Other Federal, State, Local Taxes and Licensing and Regulatory Fees </t>
  </si>
  <si>
    <t>Community Benefit Expenses (otherwise exempt from Federal income tax) and Community Reinvestment Expenses meeting requirements of 45 CFR 158.162c</t>
  </si>
  <si>
    <t xml:space="preserve">990105-01               </t>
  </si>
  <si>
    <t>Limited to 3% of earned premium</t>
  </si>
  <si>
    <t>Total Taxes, Licensing and Regulatory Fees</t>
  </si>
  <si>
    <t>Incurred Claims</t>
  </si>
  <si>
    <t>42 CFR§438.8(e)(2)(i)(A) &amp; 42 CFR§438.230(c)(2)(1)</t>
  </si>
  <si>
    <t>Include paid claims to providers/subcontractors for Medicaid covered services to Medicaid enrollees.  Exclude sub-capitation/block payments related to delegated managed care administrative expenses. The costs of the delegated managed care activities cannot be included in the managed care plan's medical loss ratio calculation.  Contractors who have providers/subcontractors with delegated managed care activities must include these costs in admin unless they are quality improvement activities which should be reported in the Expenditures for Activities that Improve Health Care Quality Section.</t>
  </si>
  <si>
    <t>50105-01 through 50350-01, 50370-01;
60105-01 through 61305-01 (ACC-RBHA)</t>
  </si>
  <si>
    <t>42 CFR§438.8(e)(2)(i)(G)</t>
  </si>
  <si>
    <t>Changes in other claims-related reserves (Change in unpaid claims between the prior year's and the current year's unpaid claims (i.e., RBUC) and change in claims incurred but not reported (IBNR) from the prior year to the current year)</t>
  </si>
  <si>
    <t>Change in A/C 20120-01</t>
  </si>
  <si>
    <t>Report changes each quarter from the prior Contract year RBUCS and IBNR</t>
  </si>
  <si>
    <t>42 CFR§438.8(e)(2)(i)(C)</t>
  </si>
  <si>
    <t>Provider Withholds from Payments</t>
  </si>
  <si>
    <t>42 CFR§438.8(e)(2)(iii)(A)</t>
  </si>
  <si>
    <t>Provider Incentive/Bonus Payments (include Unreimbursed PBP)</t>
  </si>
  <si>
    <t>Include Incentives or bonuses to providers that are not included as part of APM Performance Based Payments.  Also include Unreimbursed PBP.</t>
  </si>
  <si>
    <t>42 CFR§438.8(e)(2) (iii)(B)</t>
  </si>
  <si>
    <t>-</t>
  </si>
  <si>
    <t xml:space="preserve">Payments recovered through Fraud Recovery efforts less related expenses </t>
  </si>
  <si>
    <r>
      <t>Report total Fraud Recoveries reduced by Fraud Recovery Expenses.</t>
    </r>
    <r>
      <rPr>
        <b/>
        <i/>
        <sz val="11"/>
        <rFont val="Aptos Narrow"/>
        <family val="2"/>
      </rPr>
      <t xml:space="preserve"> The amount of Fraud Recovery expenses must not include Fraud Prevention Activities. </t>
    </r>
  </si>
  <si>
    <t>42 CFR§438.8(e)(2)(i)(H)</t>
  </si>
  <si>
    <t>Contingent Benefits/ Medical claim portion of lawsuits</t>
  </si>
  <si>
    <t>42 CFR§438.3(e)(1)(i)</t>
  </si>
  <si>
    <t>Value Added Services (Explain below)</t>
  </si>
  <si>
    <t>Include those services provided in addition to those covered under the state plan for which costs are not included in capitation payments (i.e., services not covered by AHCCCS). These expenses should improve health and reduce costs, including interventions intended to address social determinants of health. Exclude community benefit expenses or expenses paid with Community Reinvestment funds  (reported in line #23).</t>
  </si>
  <si>
    <t>42 CFR§438.6(c)(2)(ii)(A)</t>
  </si>
  <si>
    <t>Provider Payments Attributable to State Directed Payments (Excluding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</si>
  <si>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SNSI,</t>
    </r>
    <r>
      <rPr>
        <sz val="11"/>
        <color rgb="FF000000"/>
        <rFont val="Aptos Narrow"/>
        <family val="2"/>
      </rPr>
      <t xml:space="preserve"> HEALTHII, ARP and Targeted Investments State Directed Payments.  </t>
    </r>
  </si>
  <si>
    <t>Differential Adjusted Payments to Providers (Excluding Premium Tax)</t>
  </si>
  <si>
    <t>Deduct</t>
  </si>
  <si>
    <t>42 CFR§438.8(e)(2)(vi)</t>
  </si>
  <si>
    <t>Amount should be generally stated as a negative number.</t>
  </si>
  <si>
    <t>42 CFR§438.8(e)(2)(ii)(A)</t>
  </si>
  <si>
    <t>Provider/Subcontractor Overpayment Recoveries</t>
  </si>
  <si>
    <t xml:space="preserve">70305-01 </t>
  </si>
  <si>
    <t>42 CFR§438.8(e)(2)(ii)(B)</t>
  </si>
  <si>
    <t>Rx Rebates (received/accrued)</t>
  </si>
  <si>
    <t>Pharmacy Performance Guarantee</t>
  </si>
  <si>
    <t xml:space="preserve">70310-10                         </t>
  </si>
  <si>
    <t>42 CFR§438.8(e)(2) (i) (D)(E)</t>
  </si>
  <si>
    <t xml:space="preserve">TPL, COB, Subrogation Recoveries and recoverable COB claims </t>
  </si>
  <si>
    <t>Total Incurred Claims</t>
  </si>
  <si>
    <t>Non-Claims Costs (Administrative Expenditures)</t>
  </si>
  <si>
    <t>Non-Claims Costs</t>
  </si>
  <si>
    <t>Exclude Compensation classified as Health Care Quality Improvement expenses (reported in lines 61 -66).</t>
  </si>
  <si>
    <t>Care Management/Care Coordination not included in Health Care Quality Improvement Expenses</t>
  </si>
  <si>
    <t>Exclude expenses classified as Health Care Quality Improvement expenses (reported in lines  61-66) or as Fraud, Waste and Abuse expenses (reported in line 68).</t>
  </si>
  <si>
    <t>42 CFR§ 438.8(e)(2)(v)(A)(1)</t>
  </si>
  <si>
    <t>Amounts paid to third party vendors for secondary network savings</t>
  </si>
  <si>
    <t xml:space="preserve">81505-01 </t>
  </si>
  <si>
    <t>Amounts paid to third party vendors for network development, administrative fees, claims processing, and utilization management.</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</si>
  <si>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</si>
  <si>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438.8(e)(2)(v)(A)(3)</t>
  </si>
  <si>
    <t>Amounts paid, including amounts paid to a provider, for professional or administrative services that do not represent compensation or reimbursement for covered services provided to an enrollee. (e.g., Non-Medical (Administrative component) of Sub-Capitated or Block Payments)</t>
  </si>
  <si>
    <t xml:space="preserve">81605-01 </t>
  </si>
  <si>
    <t>42 CFR§ 438.8(e)(2)(v)(A)(4)</t>
  </si>
  <si>
    <t>Fines and penalties assessed by regulatory authorities</t>
  </si>
  <si>
    <t>Footnote 13</t>
  </si>
  <si>
    <t>Include AHCCCS sanctions</t>
  </si>
  <si>
    <t>Loss Adjustment Expense</t>
  </si>
  <si>
    <t>Loss Adjustment Expense is considered a cost-containment expense and should be reported as a non-claims cost.  It should not be included in the numerator (including Incurred Claims or Health Care Quality).</t>
  </si>
  <si>
    <t>Total Non-Claims Costs</t>
  </si>
  <si>
    <t xml:space="preserve">Expenditures for activities that improve health care quality </t>
  </si>
  <si>
    <t>42 CFR§438.8(e)(3)</t>
  </si>
  <si>
    <t>Health Care Quality Improvement and Other Expenses</t>
  </si>
  <si>
    <t>For ALTCS/EPD and DDD LOBs: Account # 50365-01 - ALTCS Case Management should be reported in lines 61-66 below, as appropriate.</t>
  </si>
  <si>
    <t>45 CFR§158.150(b)(1)</t>
  </si>
  <si>
    <t>Improvement of health outcomes</t>
  </si>
  <si>
    <t xml:space="preserve">81705-01 </t>
  </si>
  <si>
    <t xml:space="preserve">HCQI/QIA: Quality Improvement Activities (QIA)/Health Care Quality Improvement (HCQI): QIA/HCQI activity must meet the requirements of 45 CFR 158.150(a) and (b) and is not excluded under 45 CFR 158.150(c). CMS specifically prohibits the inclusion of indirect or overhead expenses that do not directly improve healthcare quality when reporting QIAs/HCQI. Indirect and overhead expenses should be excluded from the CYE 2024 and forward MLR reports. For additional guidance, see the Medical Loss Ratio Guidance posted on the AHCCCS' website.  </t>
  </si>
  <si>
    <t>45 CFR§158.150(b)(2)</t>
  </si>
  <si>
    <t>Activities to prevent hospital readmission</t>
  </si>
  <si>
    <t>45 CFR§158.150(b)(2)(iii)</t>
  </si>
  <si>
    <t>Improvement of patient safety and reduce medical errors</t>
  </si>
  <si>
    <t>45 CFR§158.150(b)(2)(iv)(4)</t>
  </si>
  <si>
    <t>Wellness and health promotion activities</t>
  </si>
  <si>
    <t>45 CFR§158.150(b)(2)(v) &amp; 45 CFR§158.151</t>
  </si>
  <si>
    <t>Health information technology expenses related to improving health care quality</t>
  </si>
  <si>
    <t>42 CFR§438.8(e)(3)(ii) &amp; 42 CFR§438.358(b) and (c).</t>
  </si>
  <si>
    <t>Activities related to external quality review</t>
  </si>
  <si>
    <t>Total Health Care Quality Improvement and Other Expenses</t>
  </si>
  <si>
    <t>Expenditures related to activities compliant with 42 CFR  § 438.608(a)(1) through (5), (7), (8) and (b).</t>
  </si>
  <si>
    <t>42 CFR§438.8(e)(4) &amp; 45 CFR§158.150(c)(8)</t>
  </si>
  <si>
    <t>Program Integrity: Fraud, Waste, and Abuse Prevention Expenses</t>
  </si>
  <si>
    <r>
      <t xml:space="preserve">Improvements to infrastructure that prevent fraud, waste and abuse </t>
    </r>
    <r>
      <rPr>
        <b/>
        <sz val="11"/>
        <color rgb="FF000000"/>
        <rFont val="Aptos Narrow"/>
        <family val="2"/>
      </rPr>
      <t xml:space="preserve">on a </t>
    </r>
    <r>
      <rPr>
        <sz val="11"/>
        <color rgb="FF000000"/>
        <rFont val="Aptos Narrow"/>
        <family val="2"/>
      </rPr>
      <t xml:space="preserve">going forward </t>
    </r>
    <r>
      <rPr>
        <b/>
        <sz val="11"/>
        <color rgb="FF000000"/>
        <rFont val="Aptos Narrow"/>
        <family val="2"/>
      </rPr>
      <t>basis</t>
    </r>
    <r>
      <rPr>
        <sz val="11"/>
        <color rgb="FF000000"/>
        <rFont val="Aptos Narrow"/>
        <family val="2"/>
      </rPr>
      <t xml:space="preserve">. </t>
    </r>
  </si>
  <si>
    <t>Credibility Adjustment</t>
  </si>
  <si>
    <t>42 CFR§438.8(h)</t>
  </si>
  <si>
    <t>Credibility Adjustment (If applicable)</t>
  </si>
  <si>
    <r>
      <rPr>
        <sz val="11"/>
        <color rgb="FF000000"/>
        <rFont val="Aptos Narrow"/>
        <family val="2"/>
      </rPr>
      <t>CHP and small non-</t>
    </r>
    <r>
      <rPr>
        <sz val="11"/>
        <color rgb="FFFF0000"/>
        <rFont val="Aptos Narrow"/>
        <family val="2"/>
      </rPr>
      <t>LTSS</t>
    </r>
    <r>
      <rPr>
        <vertAlign val="superscript"/>
        <sz val="11"/>
        <color rgb="FFFF0000"/>
        <rFont val="Aptos Narrow"/>
        <family val="2"/>
      </rPr>
      <t>3</t>
    </r>
    <r>
      <rPr>
        <sz val="11"/>
        <color rgb="FFFF0000"/>
        <rFont val="Aptos Narrow"/>
        <family val="2"/>
      </rPr>
      <t xml:space="preserve"> </t>
    </r>
    <r>
      <rPr>
        <sz val="11"/>
        <color rgb="FF000000"/>
        <rFont val="Aptos Narrow"/>
        <family val="2"/>
      </rPr>
      <t xml:space="preserve">MCOs between 5,400 and 380,000 </t>
    </r>
    <r>
      <rPr>
        <b/>
        <sz val="11"/>
        <color rgb="FF000000"/>
        <rFont val="Aptos Narrow"/>
        <family val="2"/>
      </rPr>
      <t xml:space="preserve">Annual </t>
    </r>
    <r>
      <rPr>
        <sz val="11"/>
        <color rgb="FF000000"/>
        <rFont val="Aptos Narrow"/>
        <family val="2"/>
      </rPr>
      <t>Member Months</t>
    </r>
  </si>
  <si>
    <t>If an MCO's annual member months are determined to be partially-credible, the credibility adjustment factor must be manually entered as calculated using the guidance in the Credibility Adjustment tab.</t>
  </si>
  <si>
    <t>MLR Calculations</t>
  </si>
  <si>
    <t>Numerator</t>
  </si>
  <si>
    <t>Denominator</t>
  </si>
  <si>
    <t>Taxes, licensing and regulatory fees</t>
  </si>
  <si>
    <t>Medical Loss Ratio</t>
  </si>
  <si>
    <t>Medical Loss Ratio with Credibility Adjustment</t>
  </si>
  <si>
    <t>Methodology(ies) for allocation of expenditures.</t>
  </si>
  <si>
    <t>42 CFR§438.8(g)
42 CFR§438.8(k)(vii)</t>
  </si>
  <si>
    <t>Please describe methodology(ies) for allocation of expenditures:</t>
  </si>
  <si>
    <r>
      <rPr>
        <sz val="11"/>
        <color rgb="FFFF0000"/>
        <rFont val="Aptos Narrow"/>
        <family val="2"/>
      </rPr>
      <t xml:space="preserve">The descriptions of the methodologies used to allocate expenses must include a detailed description of the methods used to allocate expenses, including incurred claims, QIA expenses, federal and state taxes and licensing or regulatory fees, and other non-claims costs, as described at 45 CFR § 158.170(b) [private market MLR regulations]. </t>
    </r>
    <r>
      <rPr>
        <b/>
        <sz val="11"/>
        <color rgb="FFFF0000"/>
        <rFont val="Aptos Narrow"/>
        <family val="2"/>
      </rPr>
      <t>Each expense must be included under only one type of expense,</t>
    </r>
    <r>
      <rPr>
        <sz val="11"/>
        <color rgb="FFFF0000"/>
        <rFont val="Aptos Narrow"/>
        <family val="2"/>
      </rPr>
      <t xml:space="preserve"> unless a portion of the expense fits under the definition of, or criteria for, one type of expense and the remainder fits into a different type of expense, in which cse the expense must be pro-rated between tyupes of expenses.  Expenditures that benefit multiple contracts or populations othet than those being reported, must be reported on a pro rata basis (42 CFR  438.8(g)). </t>
    </r>
    <r>
      <rPr>
        <b/>
        <sz val="11"/>
        <color rgb="FFFF0000"/>
        <rFont val="Aptos Narrow"/>
        <family val="2"/>
      </rPr>
      <t xml:space="preserve">MLR submissions that do not comply with this requirement will be returned by AHCCCS for revision and resubmission.  
</t>
    </r>
    <r>
      <rPr>
        <b/>
        <sz val="11"/>
        <color rgb="FF000000"/>
        <rFont val="Aptos Narrow"/>
        <family val="2"/>
      </rPr>
      <t xml:space="preserve">
</t>
    </r>
    <r>
      <rPr>
        <b/>
        <strike/>
        <sz val="11"/>
        <color rgb="FF000000"/>
        <rFont val="Aptos Narrow"/>
        <family val="2"/>
      </rPr>
      <t xml:space="preserve">Each expense must be included under only one type of expense. </t>
    </r>
    <r>
      <rPr>
        <strike/>
        <sz val="11"/>
        <color rgb="FF000000"/>
        <rFont val="Aptos Narrow"/>
        <family val="2"/>
      </rPr>
      <t xml:space="preserve"> If a portion of the expense fits under the definition of, or criteria for, one type of expense and the remainder fits into a different type of expense, the expense must be pro-rated between types of expenses.  Expenses that benefit multiple contracts must be reported on a pro-rata basis. </t>
    </r>
    <r>
      <rPr>
        <sz val="11"/>
        <color rgb="FF000000"/>
        <rFont val="Aptos Narrow"/>
        <family val="2"/>
      </rPr>
      <t xml:space="preserve"> Allocation to each category must be based on a generally accepted accounting method that is expected to yield the most accurate results.  Shared expenses, including expenses under the terms of a management contract, must be apportioned pro rata to the contract incurring the expense. Expenses that relate solely to the operation of a reporting entity, such as personnel costs associated with the adjusting and paying of claims, must be borne solely by the reporting entity and are not to be apportioned to the other entities. </t>
    </r>
    <r>
      <rPr>
        <sz val="11"/>
        <color rgb="FFFF0000"/>
        <rFont val="Aptos Narrow"/>
        <family val="2"/>
      </rPr>
      <t>For additional guidance, see Medical Loss Ratio Guidance posted to AHCCCS' website.</t>
    </r>
  </si>
  <si>
    <t xml:space="preserve">Explanations </t>
  </si>
  <si>
    <t xml:space="preserve">Aggregation Method </t>
  </si>
  <si>
    <t>42 CFR§438.8(h)(4)(i);
42 CFR§438.8(k)(xii)</t>
  </si>
  <si>
    <t>Please describe aggregation methodology:</t>
  </si>
  <si>
    <t>AHCCCS requires that the MLR be calculated as one aggregate value representing all risk groups/populations and GSAs. AHCCCS reserves the right to modify this requirement and obtain MLR information on a risk group and/or GSA specific basis.</t>
  </si>
  <si>
    <t>Updated January 13, 2024.</t>
  </si>
  <si>
    <t>[1]</t>
  </si>
  <si>
    <r>
      <rPr>
        <u/>
        <sz val="11"/>
        <color rgb="FF000000"/>
        <rFont val="Aptos Narrow"/>
        <family val="2"/>
      </rPr>
      <t>Annual Adjustments Column:</t>
    </r>
    <r>
      <rPr>
        <sz val="11"/>
        <color rgb="FF000000"/>
        <rFont val="Aptos Narrow"/>
        <family val="2"/>
      </rPr>
      <t xml:space="preserve"> </t>
    </r>
    <r>
      <rPr>
        <b/>
        <i/>
        <sz val="11"/>
        <color rgb="FF000000"/>
        <rFont val="Aptos Narrow"/>
        <family val="2"/>
      </rPr>
      <t>USE FOR ANNUAL REPORT ONLY</t>
    </r>
    <r>
      <rPr>
        <b/>
        <sz val="11"/>
        <color rgb="FF000000"/>
        <rFont val="Aptos Narrow"/>
        <family val="2"/>
      </rPr>
      <t xml:space="preserve"> </t>
    </r>
    <r>
      <rPr>
        <sz val="11"/>
        <color rgb="FF000000"/>
        <rFont val="Aptos Narrow"/>
        <family val="2"/>
      </rPr>
      <t xml:space="preserve">- Adjustment column should report </t>
    </r>
    <r>
      <rPr>
        <b/>
        <sz val="11"/>
        <color rgb="FF000000"/>
        <rFont val="Aptos Narrow"/>
        <family val="2"/>
      </rPr>
      <t>prior year audit adjustments</t>
    </r>
    <r>
      <rPr>
        <sz val="11"/>
        <color rgb="FF000000"/>
        <rFont val="Aptos Narrow"/>
        <family val="2"/>
      </rPr>
      <t>.  Any adjustments to be deducted should be entered as a negative number. 4</t>
    </r>
    <r>
      <rPr>
        <b/>
        <sz val="11"/>
        <color rgb="FF000000"/>
        <rFont val="Aptos Narrow"/>
        <family val="2"/>
      </rPr>
      <t>2 CFR§438.8(k)(xi)</t>
    </r>
  </si>
  <si>
    <t>[2]</t>
  </si>
  <si>
    <r>
      <rPr>
        <u/>
        <sz val="11"/>
        <color theme="1"/>
        <rFont val="Aptos Narrow"/>
        <family val="2"/>
      </rPr>
      <t>Annual Adjustments Column:</t>
    </r>
    <r>
      <rPr>
        <sz val="11"/>
        <rFont val="Aptos Narrow"/>
        <family val="2"/>
      </rPr>
      <t xml:space="preserve"> </t>
    </r>
    <r>
      <rPr>
        <b/>
        <i/>
        <sz val="11"/>
        <color theme="1"/>
        <rFont val="Aptos Narrow"/>
        <family val="2"/>
      </rPr>
      <t>USE FOR ANNUAL REPORT ONLY</t>
    </r>
    <r>
      <rPr>
        <b/>
        <sz val="11"/>
        <color theme="1"/>
        <rFont val="Aptos Narrow"/>
        <family val="2"/>
      </rPr>
      <t xml:space="preserve"> </t>
    </r>
    <r>
      <rPr>
        <sz val="11"/>
        <rFont val="Aptos Narrow"/>
        <family val="2"/>
      </rPr>
      <t xml:space="preserve">- Adjustment column should </t>
    </r>
    <r>
      <rPr>
        <b/>
        <sz val="11"/>
        <rFont val="Aptos Narrow"/>
        <family val="2"/>
      </rPr>
      <t xml:space="preserve"> true up any estimates</t>
    </r>
    <r>
      <rPr>
        <sz val="11"/>
        <rFont val="Aptos Narrow"/>
        <family val="2"/>
      </rPr>
      <t xml:space="preserve"> to present on an incurred date of service basis.  Any adjustments to be deducted should be entered as a negative number.</t>
    </r>
  </si>
  <si>
    <t>[3]</t>
  </si>
  <si>
    <r>
      <rPr>
        <b/>
        <sz val="11"/>
        <rFont val="Aptos Narrow"/>
        <family val="2"/>
      </rPr>
      <t>LTSS:</t>
    </r>
    <r>
      <rPr>
        <sz val="11"/>
        <rFont val="Aptos Narrow"/>
        <family val="2"/>
      </rPr>
      <t xml:space="preserve">  Long-Term Services and Supports.</t>
    </r>
  </si>
  <si>
    <t>Paragraph 4.19</t>
  </si>
  <si>
    <t>[1a]</t>
  </si>
  <si>
    <t>[1b]</t>
  </si>
  <si>
    <t>Total Taxes, Licensing &amp; Regulatory Fees</t>
  </si>
  <si>
    <t>[4]</t>
  </si>
  <si>
    <t>[5]</t>
  </si>
  <si>
    <t>[6]</t>
  </si>
  <si>
    <t>[7]</t>
  </si>
  <si>
    <t>[8]</t>
  </si>
  <si>
    <t>MLR Calculated Net Operating Income:</t>
  </si>
  <si>
    <t>[9]</t>
  </si>
  <si>
    <t>Enter: 99999 Net Profit (Loss)</t>
  </si>
  <si>
    <t>Enter: 88999 Profit/(Loss) from Non-Operations</t>
  </si>
  <si>
    <t>[10]</t>
  </si>
  <si>
    <t>Community Benefit / Reinvestment Expenses</t>
  </si>
  <si>
    <t>[11]</t>
  </si>
  <si>
    <t>Provider Incentive/Bonus Payments (Include Unreimbursed PBP)</t>
  </si>
  <si>
    <t>[12]</t>
  </si>
  <si>
    <t>Check Figure</t>
  </si>
  <si>
    <t>[13]</t>
  </si>
  <si>
    <t>Notes:</t>
  </si>
  <si>
    <r>
      <t>USE FOR ANNUAL MLR REPORT ONL</t>
    </r>
    <r>
      <rPr>
        <i/>
        <sz val="11"/>
        <rFont val="Aptos Narrow"/>
        <family val="2"/>
      </rPr>
      <t>Y</t>
    </r>
    <r>
      <rPr>
        <sz val="11"/>
        <rFont val="Aptos Narrow"/>
        <family val="2"/>
      </rPr>
      <t xml:space="preserve"> - Adjustments column should report prior year adjustments.  Any adjustments to be deducted should be entered as a negative number.</t>
    </r>
  </si>
  <si>
    <r>
      <t>USE FOR ANNUAL MLR REPORT ONL</t>
    </r>
    <r>
      <rPr>
        <i/>
        <sz val="11"/>
        <rFont val="Aptos Narrow"/>
        <family val="2"/>
      </rPr>
      <t>Y</t>
    </r>
    <r>
      <rPr>
        <sz val="11"/>
        <rFont val="Aptos Narrow"/>
        <family val="2"/>
      </rPr>
      <t xml:space="preserve"> - Adjustments column should true up any estimates to present on an incurred date of service basis.  Any adjustments to be deducted should be entered as a negative number.</t>
    </r>
  </si>
  <si>
    <t>Line #18 of the MLR Reporting Template. Note:  Premium revenue does not include non-operating income such as investment income or interest income. Do not enter anything in these cells</t>
  </si>
  <si>
    <t>Line #24 of the MLR Reporting Template - do not enter anything in these cells.</t>
  </si>
  <si>
    <t>Line #39 of the MLR Reporting Template - do not enter anything in these cells.</t>
  </si>
  <si>
    <t>Line #60 of the MLR Reporting Template - do not enter anything in these cells.</t>
  </si>
  <si>
    <t>Line #67 of the MLR Reporting Template - do not enter anything in these cells.</t>
  </si>
  <si>
    <t>Line #68 of the MLR Reporting Template.  Fraud prevention includes improvements to infrastructure that prevents fraud, waste and abuse going forward. Do not enter anything in these cells.</t>
  </si>
  <si>
    <t>Auto calculates - do not enter anything in these cells.</t>
  </si>
  <si>
    <t>Enter (in natural state):  Net Profit (Loss) and Profit(Loss) from Non-Operations which includes accounts 88999-01 and 88999-02, as presented on Financial Reporting Template.</t>
  </si>
  <si>
    <t>Line #23 of the MLR Reporting Template - do not enter anything in these cells.</t>
  </si>
  <si>
    <t>Line #28 of the MLR Reporting Template - do not enter anything in these cells.</t>
  </si>
  <si>
    <t>Auto calculates.  If the difference is greater than $1.00 or less than ($1.00), reconcile the difference.</t>
  </si>
  <si>
    <t>Paragraph 5.11</t>
  </si>
  <si>
    <t>Total Current Year Fiscal Year End Audit Adjustments at:</t>
  </si>
  <si>
    <t>(Input adjustments not specific to a known quarter in blue (red auto populates)</t>
  </si>
  <si>
    <t>Net Profit subject to community reinvestment</t>
  </si>
  <si>
    <t>Net Profit (Loss)</t>
  </si>
  <si>
    <t>(input)</t>
  </si>
  <si>
    <t>Less: Unreimbursed Performance Based Payments</t>
  </si>
  <si>
    <t>(input if applicable)</t>
  </si>
  <si>
    <t>Prior Year Audit Adjustments Input (if applicable)</t>
  </si>
  <si>
    <t>Current Year Audit Spread</t>
  </si>
  <si>
    <t>(autopopulates, no input required)</t>
  </si>
  <si>
    <t>Current Year Audit Input (known quarter, if applicable)</t>
  </si>
  <si>
    <t>Net Amount Subject To Community Reinvestment</t>
  </si>
  <si>
    <t>6% Community Reinvestment</t>
  </si>
  <si>
    <t>Current year accrual</t>
  </si>
  <si>
    <t>Net to accrue</t>
  </si>
  <si>
    <t>CYE 24 SNSI</t>
  </si>
  <si>
    <t>CYE 25 SNSI</t>
  </si>
  <si>
    <r>
      <rPr>
        <sz val="11"/>
        <color rgb="FF000000"/>
        <rFont val="Aptos Narrow"/>
        <family val="2"/>
      </rPr>
      <t>Disclose the driving factors for any current contract year-to-date profit/loss incurred,</t>
    </r>
    <r>
      <rPr>
        <sz val="11"/>
        <color rgb="FFFF0000"/>
        <rFont val="Aptos Narrow"/>
        <family val="2"/>
      </rPr>
      <t xml:space="preserve"> unrelated to any prior year activity</t>
    </r>
    <r>
      <rPr>
        <sz val="11"/>
        <color rgb="FF000000"/>
        <rFont val="Aptos Narrow"/>
        <family val="2"/>
      </rPr>
      <t xml:space="preserve"> (even if within the profit corridor):</t>
    </r>
  </si>
  <si>
    <r>
      <rPr>
        <sz val="11"/>
        <color rgb="FF000000"/>
        <rFont val="Aptos Narrow"/>
        <family val="2"/>
      </rPr>
      <t>Total reported in lines 25 and 26 should equal the total reported in the income statement for Account #'s 50105-01 to</t>
    </r>
    <r>
      <rPr>
        <strike/>
        <sz val="11"/>
        <color rgb="FF000000"/>
        <rFont val="Aptos Narrow"/>
        <family val="2"/>
      </rPr>
      <t xml:space="preserve"> 50360-01</t>
    </r>
    <r>
      <rPr>
        <sz val="11"/>
        <color rgb="FF000000"/>
        <rFont val="Aptos Narrow"/>
        <family val="2"/>
      </rPr>
      <t xml:space="preserve"> </t>
    </r>
    <r>
      <rPr>
        <sz val="11"/>
        <color rgb="FFFF0000"/>
        <rFont val="Aptos Narrow"/>
        <family val="2"/>
      </rPr>
      <t>50370-01</t>
    </r>
    <r>
      <rPr>
        <sz val="11"/>
        <color rgb="FF000000"/>
        <rFont val="Aptos Narrow"/>
        <family val="2"/>
      </rPr>
      <t xml:space="preserve"> (exclude 50350-05 and 50350-10)</t>
    </r>
    <r>
      <rPr>
        <strike/>
        <sz val="11"/>
        <color rgb="FF000000"/>
        <rFont val="Aptos Narrow"/>
        <family val="2"/>
      </rPr>
      <t xml:space="preserve"> and 50370-01</t>
    </r>
    <r>
      <rPr>
        <sz val="11"/>
        <color rgb="FF000000"/>
        <rFont val="Aptos Narrow"/>
        <family val="2"/>
      </rPr>
      <t xml:space="preserve"> (60105 through 61205 for ACC-RBHAs). For ALTCS/EPD and DDD LOBs: exclude Account #s 50350-05 and 50350-10.  Also, exclude Account # 50365-01 - ALTCS Case Management which should be reported in lines</t>
    </r>
    <r>
      <rPr>
        <strike/>
        <sz val="11"/>
        <color rgb="FF000000"/>
        <rFont val="Aptos Narrow"/>
        <family val="2"/>
      </rPr>
      <t xml:space="preserve"> 59-64</t>
    </r>
    <r>
      <rPr>
        <sz val="11"/>
        <color rgb="FF000000"/>
        <rFont val="Aptos Narrow"/>
        <family val="2"/>
      </rPr>
      <t xml:space="preserve">, </t>
    </r>
    <r>
      <rPr>
        <sz val="11"/>
        <color rgb="FFFF0000"/>
        <rFont val="Aptos Narrow"/>
        <family val="2"/>
      </rPr>
      <t>61-66</t>
    </r>
    <r>
      <rPr>
        <sz val="11"/>
        <color rgb="FF000000"/>
        <rFont val="Aptos Narrow"/>
        <family val="2"/>
      </rPr>
      <t xml:space="preserve"> as appropriate.   The majority of the items explicitly requested to be quantified on a subsequent line in the Incurred Claims section are not to be reported in line 25. </t>
    </r>
  </si>
  <si>
    <t>State Directed Payments Revenue 40165-01</t>
  </si>
  <si>
    <t>Differential Adjusted Payments Revenue 40170-01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</si>
</sst>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General_)"/>
    <numFmt numFmtId="166" formatCode="mm/dd/yy"/>
    <numFmt numFmtId="167" formatCode="_(* #,##0_);_(* \(#,##0\);_(* &quot;-&quot;??_);_(@_)"/>
    <numFmt numFmtId="168" formatCode="&quot;$&quot;#,##0"/>
    <numFmt numFmtId="169" formatCode="0.0%"/>
    <numFmt numFmtId="170" formatCode="_([$€-2]* #,##0.00_);_([$€-2]* \(#,##0.00\);_([$€-2]* &quot;-&quot;??_)"/>
    <numFmt numFmtId="171" formatCode="&quot;$&quot;#,##0.00"/>
    <numFmt numFmtId="172" formatCode="0_);[Red]\(0\)"/>
    <numFmt numFmtId="173" formatCode="_(&quot;$&quot;* #,##0_);_(&quot;$&quot;* \(#,##0\);_(&quot;$&quot;* &quot;0&quot;_);_(@_)"/>
    <numFmt numFmtId="174" formatCode="_(&quot;$&quot;* #,##0_);[Red]_(&quot;$&quot;* \(#,##0\);_(&quot;$&quot;* &quot;0&quot;_);_(@_)"/>
    <numFmt numFmtId="175" formatCode="[$-409]mmmm\ d\,\ yyyy;@"/>
    <numFmt numFmtId="176" formatCode="0.0%_);[Red]\(0.0%\)"/>
  </numFmts>
  <fonts count="60" x14ac:knownFonts="1">
    <font>
      <sz val="10"/>
      <name val="Arial"/>
    </font>
    <font>
      <sz val="11"/>
      <color theme="1"/>
      <name val="Aptos Narrow"/>
      <family val="2"/>
    </font>
    <font>
      <sz val="11"/>
      <color theme="1"/>
      <name val="Aptos Narrow"/>
      <family val="2"/>
    </font>
    <font>
      <sz val="11"/>
      <color theme="1"/>
      <name val="Aptos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Courier"/>
      <family val="3"/>
    </font>
    <font>
      <sz val="8"/>
      <name val="Arial"/>
      <family val="2"/>
    </font>
    <font>
      <sz val="11"/>
      <color rgb="FF3F3F76"/>
      <name val="Calibri"/>
      <family val="2"/>
      <scheme val="minor"/>
    </font>
    <font>
      <sz val="10"/>
      <name val="Arial"/>
      <family val="2"/>
    </font>
    <font>
      <b/>
      <sz val="11"/>
      <color theme="0"/>
      <name val="Aptos Narrow"/>
      <family val="2"/>
    </font>
    <font>
      <sz val="11"/>
      <color rgb="FFFF0000"/>
      <name val="Aptos Narrow"/>
      <family val="2"/>
    </font>
    <font>
      <b/>
      <sz val="11"/>
      <color theme="1"/>
      <name val="Aptos Narrow"/>
      <family val="2"/>
    </font>
    <font>
      <sz val="11"/>
      <color theme="0"/>
      <name val="Aptos Narrow"/>
      <family val="2"/>
    </font>
    <font>
      <u/>
      <sz val="11"/>
      <color rgb="FF000000"/>
      <name val="Aptos Narrow"/>
      <family val="2"/>
    </font>
    <font>
      <b/>
      <i/>
      <sz val="11"/>
      <color rgb="FF000000"/>
      <name val="Aptos Narrow"/>
      <family val="2"/>
    </font>
    <font>
      <b/>
      <sz val="11"/>
      <color rgb="FF000000"/>
      <name val="Aptos Narrow"/>
      <family val="2"/>
    </font>
    <font>
      <u/>
      <sz val="11"/>
      <color theme="1"/>
      <name val="Aptos Narrow"/>
      <family val="2"/>
    </font>
    <font>
      <b/>
      <i/>
      <sz val="11"/>
      <color theme="1"/>
      <name val="Aptos Narrow"/>
      <family val="2"/>
    </font>
    <font>
      <sz val="11"/>
      <name val="Aptos Narrow"/>
      <family val="2"/>
    </font>
    <font>
      <b/>
      <sz val="11"/>
      <name val="Aptos Narrow"/>
      <family val="2"/>
    </font>
    <font>
      <b/>
      <sz val="11"/>
      <color rgb="FFFF0000"/>
      <name val="Aptos Narrow"/>
      <family val="2"/>
    </font>
    <font>
      <u/>
      <sz val="11"/>
      <name val="Aptos Narrow"/>
      <family val="2"/>
    </font>
    <font>
      <i/>
      <sz val="11"/>
      <name val="Aptos Narrow"/>
      <family val="2"/>
    </font>
    <font>
      <b/>
      <sz val="11"/>
      <color indexed="8"/>
      <name val="Aptos Narrow"/>
      <family val="2"/>
    </font>
    <font>
      <sz val="11"/>
      <color indexed="8"/>
      <name val="Aptos Narrow"/>
      <family val="2"/>
    </font>
    <font>
      <b/>
      <vertAlign val="superscript"/>
      <sz val="11"/>
      <color theme="0"/>
      <name val="Aptos Narrow"/>
      <family val="2"/>
    </font>
    <font>
      <i/>
      <u/>
      <sz val="11"/>
      <color rgb="FFFF0000"/>
      <name val="Aptos Narrow"/>
      <family val="2"/>
    </font>
    <font>
      <vertAlign val="superscript"/>
      <sz val="11"/>
      <color rgb="FFFF0000"/>
      <name val="Aptos Narrow"/>
      <family val="2"/>
    </font>
    <font>
      <strike/>
      <sz val="11"/>
      <name val="Aptos Narrow"/>
      <family val="2"/>
    </font>
    <font>
      <b/>
      <i/>
      <sz val="11"/>
      <name val="Aptos Narrow"/>
      <family val="2"/>
    </font>
    <font>
      <sz val="11"/>
      <color rgb="FF000000"/>
      <name val="Aptos Narrow"/>
      <family val="2"/>
    </font>
    <font>
      <sz val="11"/>
      <color rgb="FF0000FF"/>
      <name val="Aptos Narrow"/>
      <family val="2"/>
    </font>
    <font>
      <b/>
      <sz val="11"/>
      <color rgb="FF3D0AF6"/>
      <name val="Aptos Narrow"/>
      <family val="2"/>
    </font>
    <font>
      <sz val="11"/>
      <color rgb="FF3D0AF6"/>
      <name val="Aptos Narrow"/>
      <family val="2"/>
    </font>
    <font>
      <b/>
      <sz val="11"/>
      <color indexed="20"/>
      <name val="Aptos Narrow"/>
      <family val="2"/>
    </font>
    <font>
      <b/>
      <i/>
      <sz val="11"/>
      <color rgb="FFFF0000"/>
      <name val="Aptos Narrow"/>
      <family val="2"/>
    </font>
    <font>
      <b/>
      <sz val="11"/>
      <color indexed="10"/>
      <name val="Aptos Narrow"/>
      <family val="2"/>
    </font>
    <font>
      <sz val="11"/>
      <color indexed="10"/>
      <name val="Aptos Narrow"/>
      <family val="2"/>
    </font>
    <font>
      <b/>
      <u/>
      <sz val="11"/>
      <name val="Aptos Narrow"/>
      <family val="2"/>
    </font>
    <font>
      <b/>
      <u/>
      <sz val="11"/>
      <color indexed="8"/>
      <name val="Aptos Narrow"/>
      <family val="2"/>
    </font>
    <font>
      <vertAlign val="superscript"/>
      <sz val="11"/>
      <color theme="1"/>
      <name val="Aptos Narrow"/>
      <family val="2"/>
    </font>
    <font>
      <vertAlign val="superscript"/>
      <sz val="11"/>
      <name val="Aptos Narrow"/>
      <family val="2"/>
    </font>
    <font>
      <b/>
      <sz val="11"/>
      <color rgb="FFFFFFFF"/>
      <name val="Aptos Narrow"/>
      <family val="2"/>
    </font>
    <font>
      <strike/>
      <sz val="11"/>
      <color rgb="FFFF0000"/>
      <name val="Aptos Narrow"/>
      <family val="2"/>
    </font>
    <font>
      <b/>
      <i/>
      <sz val="11"/>
      <color theme="0"/>
      <name val="Aptos Narrow"/>
      <family val="2"/>
    </font>
    <font>
      <b/>
      <sz val="11"/>
      <color theme="2"/>
      <name val="Aptos Narrow"/>
      <family val="2"/>
    </font>
    <font>
      <sz val="11"/>
      <color rgb="FF242424"/>
      <name val="Aptos Narrow"/>
      <family val="2"/>
    </font>
    <font>
      <b/>
      <strike/>
      <sz val="11"/>
      <color rgb="FF000000"/>
      <name val="Aptos Narrow"/>
      <family val="2"/>
    </font>
    <font>
      <strike/>
      <sz val="11"/>
      <color rgb="FF000000"/>
      <name val="Aptos Narrow"/>
      <family val="2"/>
    </font>
    <font>
      <b/>
      <sz val="10"/>
      <color theme="0"/>
      <name val="Arial"/>
      <family val="2"/>
    </font>
    <font>
      <b/>
      <strike/>
      <sz val="11"/>
      <color rgb="FFFF0000"/>
      <name val="Aptos Narrow"/>
      <family val="2"/>
    </font>
  </fonts>
  <fills count="3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rgb="FFFFFFFF"/>
        <bgColor rgb="FF000000"/>
      </patternFill>
    </fill>
    <fill>
      <patternFill patternType="solid">
        <fgColor rgb="FFFFCC99"/>
      </patternFill>
    </fill>
    <fill>
      <patternFill patternType="solid">
        <fgColor rgb="FFFFFFCC"/>
      </patternFill>
    </fill>
    <fill>
      <patternFill patternType="solid">
        <fgColor theme="8" tint="0.79998168889431442"/>
        <bgColor indexed="64"/>
      </patternFill>
    </fill>
    <fill>
      <patternFill patternType="solid">
        <fgColor rgb="FFFFFFCC"/>
        <bgColor indexed="64"/>
      </patternFill>
    </fill>
    <fill>
      <patternFill patternType="solid">
        <fgColor rgb="FFFFFFFF"/>
        <bgColor indexed="64"/>
      </patternFill>
    </fill>
    <fill>
      <patternFill patternType="solid">
        <fgColor theme="6" tint="0.59999389629810485"/>
        <bgColor indexed="64"/>
      </patternFill>
    </fill>
    <fill>
      <patternFill patternType="solid">
        <fgColor rgb="FF318DCC"/>
        <bgColor indexed="64"/>
      </patternFill>
    </fill>
    <fill>
      <patternFill patternType="solid">
        <fgColor theme="0" tint="-0.499984740745262"/>
        <bgColor indexed="64"/>
      </patternFill>
    </fill>
    <fill>
      <patternFill patternType="solid">
        <fgColor rgb="FFDAEEF3"/>
        <bgColor indexed="64"/>
      </patternFill>
    </fill>
    <fill>
      <patternFill patternType="solid">
        <fgColor rgb="FF712339"/>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318DCC"/>
        <bgColor rgb="FF000000"/>
      </patternFill>
    </fill>
    <fill>
      <patternFill patternType="solid">
        <fgColor rgb="FFDAEEF3"/>
        <bgColor rgb="FF000000"/>
      </patternFill>
    </fill>
    <fill>
      <patternFill patternType="solid">
        <fgColor rgb="FFFFCC0A"/>
        <bgColor indexed="64"/>
      </patternFill>
    </fill>
    <fill>
      <patternFill patternType="solid">
        <fgColor rgb="FF8A3A6D"/>
        <bgColor indexed="64"/>
      </patternFill>
    </fill>
    <fill>
      <patternFill patternType="solid">
        <fgColor rgb="FF369992"/>
        <bgColor indexed="64"/>
      </patternFill>
    </fill>
    <fill>
      <patternFill patternType="solid">
        <fgColor rgb="FF369992"/>
        <bgColor rgb="FF000000"/>
      </patternFill>
    </fill>
    <fill>
      <patternFill patternType="solid">
        <fgColor rgb="FFCC6C20"/>
        <bgColor indexed="64"/>
      </patternFill>
    </fill>
    <fill>
      <patternFill patternType="solid">
        <fgColor rgb="FF8CB27B"/>
        <bgColor indexed="64"/>
      </patternFill>
    </fill>
    <fill>
      <patternFill patternType="solid">
        <fgColor rgb="FF005528"/>
        <bgColor indexed="64"/>
      </patternFill>
    </fill>
  </fills>
  <borders count="12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auto="1"/>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indexed="64"/>
      </left>
      <right/>
      <top style="medium">
        <color rgb="FF000000"/>
      </top>
      <bottom style="thin">
        <color indexed="64"/>
      </bottom>
      <diagonal/>
    </border>
    <border>
      <left style="medium">
        <color rgb="FF000000"/>
      </left>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style="medium">
        <color rgb="FF000000"/>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auto="1"/>
      </right>
      <top style="medium">
        <color rgb="FF000000"/>
      </top>
      <bottom/>
      <diagonal/>
    </border>
    <border>
      <left/>
      <right style="medium">
        <color auto="1"/>
      </right>
      <top/>
      <bottom style="thin">
        <color rgb="FF000000"/>
      </bottom>
      <diagonal/>
    </border>
    <border>
      <left/>
      <right style="medium">
        <color auto="1"/>
      </right>
      <top style="thin">
        <color rgb="FF000000"/>
      </top>
      <bottom style="thin">
        <color rgb="FF000000"/>
      </bottom>
      <diagonal/>
    </border>
    <border>
      <left style="medium">
        <color indexed="64"/>
      </left>
      <right style="medium">
        <color rgb="FF000000"/>
      </right>
      <top/>
      <bottom style="medium">
        <color indexed="64"/>
      </bottom>
      <diagonal/>
    </border>
    <border>
      <left/>
      <right style="medium">
        <color auto="1"/>
      </right>
      <top style="medium">
        <color indexed="64"/>
      </top>
      <bottom style="thin">
        <color rgb="FF000000"/>
      </bottom>
      <diagonal/>
    </border>
    <border>
      <left/>
      <right style="medium">
        <color auto="1"/>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style="thick">
        <color indexed="64"/>
      </left>
      <right/>
      <top/>
      <bottom/>
      <diagonal/>
    </border>
    <border>
      <left/>
      <right style="thin">
        <color indexed="64"/>
      </right>
      <top/>
      <bottom style="medium">
        <color indexed="64"/>
      </bottom>
      <diagonal/>
    </border>
    <border>
      <left style="thin">
        <color rgb="FFB2B2B2"/>
      </left>
      <right style="thin">
        <color rgb="FFB2B2B2"/>
      </right>
      <top style="medium">
        <color indexed="64"/>
      </top>
      <bottom style="thin">
        <color rgb="FFB2B2B2"/>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ck">
        <color indexed="64"/>
      </right>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medium">
        <color rgb="FF000000"/>
      </right>
      <top style="medium">
        <color indexed="64"/>
      </top>
      <bottom style="thin">
        <color indexed="64"/>
      </bottom>
      <diagonal/>
    </border>
  </borders>
  <cellStyleXfs count="61">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0" fontId="13" fillId="0" borderId="0"/>
    <xf numFmtId="165" fontId="14"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3" fillId="0" borderId="0"/>
    <xf numFmtId="0" fontId="16" fillId="10" borderId="55" applyNumberFormat="0" applyAlignment="0" applyProtection="0"/>
    <xf numFmtId="0" fontId="13" fillId="0" borderId="0"/>
    <xf numFmtId="0" fontId="11" fillId="0" borderId="0"/>
    <xf numFmtId="0" fontId="11" fillId="11" borderId="56" applyNumberFormat="0" applyFont="0" applyAlignment="0" applyProtection="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1" fillId="0" borderId="0"/>
    <xf numFmtId="43" fontId="11" fillId="0" borderId="0" applyFont="0" applyFill="0" applyBorder="0" applyAlignment="0" applyProtection="0"/>
    <xf numFmtId="0" fontId="13" fillId="0" borderId="0"/>
    <xf numFmtId="0" fontId="11"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9" fillId="11" borderId="56" applyNumberFormat="0" applyFont="0" applyAlignment="0" applyProtection="0"/>
    <xf numFmtId="44" fontId="9" fillId="0" borderId="0" applyFont="0" applyFill="0" applyBorder="0" applyAlignment="0" applyProtection="0"/>
    <xf numFmtId="44" fontId="13" fillId="0" borderId="0" applyFont="0" applyFill="0" applyBorder="0" applyAlignment="0" applyProtection="0"/>
    <xf numFmtId="9" fontId="17" fillId="0" borderId="0" applyFont="0" applyFill="0" applyBorder="0" applyAlignment="0" applyProtection="0"/>
    <xf numFmtId="0" fontId="17" fillId="11" borderId="56" applyNumberFormat="0" applyFont="0" applyAlignment="0" applyProtection="0"/>
    <xf numFmtId="43" fontId="13" fillId="0" borderId="0" applyFont="0" applyFill="0" applyBorder="0" applyAlignment="0" applyProtection="0"/>
    <xf numFmtId="44" fontId="13"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13"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11" borderId="56" applyNumberFormat="0" applyFont="0" applyAlignment="0" applyProtection="0"/>
    <xf numFmtId="170" fontId="13" fillId="0" borderId="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4" fillId="11" borderId="56" applyNumberFormat="0" applyFont="0" applyAlignment="0" applyProtection="0"/>
    <xf numFmtId="44" fontId="4" fillId="0" borderId="0" applyFont="0" applyFill="0" applyBorder="0" applyAlignment="0" applyProtection="0"/>
  </cellStyleXfs>
  <cellXfs count="2579">
    <xf numFmtId="0" fontId="0" fillId="0" borderId="0" xfId="0"/>
    <xf numFmtId="0" fontId="3" fillId="0" borderId="0" xfId="55" applyFont="1"/>
    <xf numFmtId="0" fontId="27" fillId="0" borderId="0" xfId="55" applyFont="1"/>
    <xf numFmtId="0" fontId="3" fillId="0" borderId="0" xfId="50" applyFont="1"/>
    <xf numFmtId="44" fontId="3" fillId="0" borderId="0" xfId="50" applyNumberFormat="1" applyFont="1"/>
    <xf numFmtId="0" fontId="3" fillId="0" borderId="0" xfId="50" applyFont="1" applyAlignment="1">
      <alignment horizontal="left"/>
    </xf>
    <xf numFmtId="165" fontId="21" fillId="0" borderId="0" xfId="8" applyFont="1"/>
    <xf numFmtId="0" fontId="3" fillId="0" borderId="0" xfId="57" applyFont="1"/>
    <xf numFmtId="0" fontId="28" fillId="0" borderId="0" xfId="21" applyFont="1" applyProtection="1">
      <protection locked="0"/>
    </xf>
    <xf numFmtId="0" fontId="3" fillId="0" borderId="0" xfId="22" applyFont="1"/>
    <xf numFmtId="0" fontId="27" fillId="0" borderId="0" xfId="21" applyFont="1" applyProtection="1">
      <protection locked="0"/>
    </xf>
    <xf numFmtId="0" fontId="28" fillId="0" borderId="0" xfId="0" applyFont="1"/>
    <xf numFmtId="0" fontId="29" fillId="0" borderId="0" xfId="32" applyFont="1"/>
    <xf numFmtId="2" fontId="28" fillId="0" borderId="17" xfId="20" applyNumberFormat="1" applyFont="1" applyFill="1" applyBorder="1" applyAlignment="1">
      <alignment horizontal="center"/>
    </xf>
    <xf numFmtId="168" fontId="28" fillId="0" borderId="17" xfId="20" applyNumberFormat="1" applyFont="1" applyFill="1" applyBorder="1" applyAlignment="1">
      <alignment horizontal="center"/>
    </xf>
    <xf numFmtId="169" fontId="28" fillId="0" borderId="17" xfId="25" applyNumberFormat="1" applyFont="1" applyFill="1" applyBorder="1" applyAlignment="1">
      <alignment horizontal="center"/>
    </xf>
    <xf numFmtId="171" fontId="28" fillId="18" borderId="17" xfId="20" applyNumberFormat="1" applyFont="1" applyFill="1" applyBorder="1" applyAlignment="1">
      <alignment horizontal="center"/>
    </xf>
    <xf numFmtId="0" fontId="20" fillId="2" borderId="9" xfId="22" applyFont="1" applyFill="1" applyBorder="1"/>
    <xf numFmtId="0" fontId="20" fillId="2" borderId="7" xfId="22" applyFont="1" applyFill="1" applyBorder="1"/>
    <xf numFmtId="0" fontId="27" fillId="0" borderId="0" xfId="21" applyFont="1" applyAlignment="1" applyProtection="1">
      <alignment vertical="center"/>
      <protection locked="0"/>
    </xf>
    <xf numFmtId="0" fontId="18" fillId="0" borderId="0" xfId="0" applyFont="1"/>
    <xf numFmtId="0" fontId="27" fillId="0" borderId="0" xfId="0" applyFont="1"/>
    <xf numFmtId="0" fontId="28" fillId="0" borderId="0" xfId="0" applyFont="1" applyAlignment="1" applyProtection="1">
      <alignment horizontal="left"/>
      <protection locked="0"/>
    </xf>
    <xf numFmtId="165" fontId="28" fillId="0" borderId="0" xfId="8" applyFont="1" applyAlignment="1">
      <alignment horizontal="left"/>
    </xf>
    <xf numFmtId="0" fontId="31" fillId="0" borderId="15" xfId="0" applyFont="1" applyBorder="1"/>
    <xf numFmtId="0" fontId="27" fillId="0" borderId="4" xfId="0" applyFont="1" applyBorder="1"/>
    <xf numFmtId="0" fontId="27" fillId="0" borderId="14" xfId="0" applyFont="1" applyBorder="1"/>
    <xf numFmtId="0" fontId="27" fillId="0" borderId="5" xfId="0" applyFont="1" applyBorder="1"/>
    <xf numFmtId="0" fontId="27" fillId="0" borderId="12" xfId="0" applyFont="1" applyBorder="1"/>
    <xf numFmtId="0" fontId="31" fillId="0" borderId="5" xfId="0" applyFont="1" applyBorder="1"/>
    <xf numFmtId="0" fontId="28" fillId="0" borderId="5" xfId="0" applyFont="1" applyBorder="1"/>
    <xf numFmtId="0" fontId="19" fillId="0" borderId="0" xfId="0" applyFont="1"/>
    <xf numFmtId="0" fontId="27" fillId="0" borderId="0" xfId="53" applyFont="1"/>
    <xf numFmtId="0" fontId="27" fillId="0" borderId="0" xfId="0" applyFont="1" applyAlignment="1">
      <alignment horizontal="right"/>
    </xf>
    <xf numFmtId="0" fontId="28" fillId="0" borderId="0" xfId="0" applyFont="1" applyAlignment="1">
      <alignment horizontal="right"/>
    </xf>
    <xf numFmtId="0" fontId="31" fillId="0" borderId="5" xfId="0" applyFont="1" applyBorder="1" applyAlignment="1">
      <alignment horizontal="left" vertical="center" indent="1"/>
    </xf>
    <xf numFmtId="0" fontId="27" fillId="0" borderId="9" xfId="0" applyFont="1" applyBorder="1"/>
    <xf numFmtId="0" fontId="27" fillId="0" borderId="7" xfId="0" applyFont="1" applyBorder="1"/>
    <xf numFmtId="0" fontId="27" fillId="0" borderId="8" xfId="0" applyFont="1" applyBorder="1"/>
    <xf numFmtId="0" fontId="28" fillId="0" borderId="0" xfId="0" applyFont="1" applyAlignment="1" applyProtection="1">
      <alignment horizontal="right"/>
      <protection locked="0"/>
    </xf>
    <xf numFmtId="14" fontId="28" fillId="0" borderId="0" xfId="8" applyNumberFormat="1" applyFont="1" applyAlignment="1">
      <alignment horizontal="left"/>
    </xf>
    <xf numFmtId="0" fontId="28" fillId="0" borderId="0" xfId="7" applyFont="1" applyAlignment="1" applyProtection="1">
      <alignment horizontal="right"/>
      <protection locked="0"/>
    </xf>
    <xf numFmtId="0" fontId="28" fillId="0" borderId="0" xfId="0" applyFont="1" applyAlignment="1" applyProtection="1">
      <alignment horizontal="centerContinuous"/>
      <protection locked="0"/>
    </xf>
    <xf numFmtId="17" fontId="28" fillId="0" borderId="0" xfId="0" applyNumberFormat="1" applyFont="1" applyAlignment="1" applyProtection="1">
      <alignment horizontal="center"/>
      <protection locked="0"/>
    </xf>
    <xf numFmtId="0" fontId="27" fillId="0" borderId="0" xfId="0" applyFont="1" applyAlignment="1">
      <alignment horizontal="center"/>
    </xf>
    <xf numFmtId="0" fontId="27" fillId="0" borderId="0" xfId="0" applyFont="1" applyAlignment="1" applyProtection="1">
      <alignment horizontal="center"/>
      <protection locked="0"/>
    </xf>
    <xf numFmtId="0" fontId="32" fillId="0" borderId="0" xfId="0" applyFont="1" applyAlignment="1">
      <alignment horizontal="right" vertical="top"/>
    </xf>
    <xf numFmtId="174" fontId="27" fillId="0" borderId="36" xfId="0" applyNumberFormat="1" applyFont="1" applyBorder="1" applyAlignment="1">
      <alignment vertical="top"/>
    </xf>
    <xf numFmtId="174" fontId="27" fillId="0" borderId="33" xfId="0" applyNumberFormat="1" applyFont="1" applyBorder="1" applyAlignment="1">
      <alignment vertical="top"/>
    </xf>
    <xf numFmtId="174" fontId="27" fillId="0" borderId="29" xfId="0" applyNumberFormat="1" applyFont="1" applyBorder="1" applyAlignment="1">
      <alignment vertical="top"/>
    </xf>
    <xf numFmtId="174" fontId="32" fillId="21" borderId="99" xfId="0" applyNumberFormat="1" applyFont="1" applyFill="1" applyBorder="1" applyAlignment="1">
      <alignment vertical="top"/>
    </xf>
    <xf numFmtId="174" fontId="27" fillId="0" borderId="30" xfId="0" applyNumberFormat="1" applyFont="1" applyBorder="1" applyAlignment="1">
      <alignment vertical="top"/>
    </xf>
    <xf numFmtId="174" fontId="28" fillId="21" borderId="11" xfId="0" applyNumberFormat="1" applyFont="1" applyFill="1" applyBorder="1" applyAlignment="1">
      <alignment vertical="top"/>
    </xf>
    <xf numFmtId="0" fontId="28" fillId="0" borderId="0" xfId="0" applyFont="1" applyAlignment="1" applyProtection="1">
      <alignment horizontal="left" wrapText="1"/>
      <protection locked="0"/>
    </xf>
    <xf numFmtId="174" fontId="27" fillId="0" borderId="38" xfId="0" applyNumberFormat="1" applyFont="1" applyBorder="1" applyAlignment="1">
      <alignment vertical="top"/>
    </xf>
    <xf numFmtId="174" fontId="27" fillId="0" borderId="10" xfId="0" applyNumberFormat="1" applyFont="1" applyBorder="1" applyAlignment="1">
      <alignment vertical="top"/>
    </xf>
    <xf numFmtId="174" fontId="27" fillId="0" borderId="31" xfId="0" applyNumberFormat="1" applyFont="1" applyBorder="1" applyAlignment="1">
      <alignment vertical="top"/>
    </xf>
    <xf numFmtId="174" fontId="32" fillId="21" borderId="74" xfId="0" applyNumberFormat="1" applyFont="1" applyFill="1" applyBorder="1" applyAlignment="1">
      <alignment vertical="top"/>
    </xf>
    <xf numFmtId="174" fontId="27" fillId="0" borderId="32" xfId="0" applyNumberFormat="1" applyFont="1" applyBorder="1" applyAlignment="1">
      <alignment vertical="top"/>
    </xf>
    <xf numFmtId="174" fontId="28" fillId="21" borderId="98" xfId="0" applyNumberFormat="1" applyFont="1" applyFill="1" applyBorder="1" applyAlignment="1">
      <alignment vertical="top"/>
    </xf>
    <xf numFmtId="168" fontId="28" fillId="0" borderId="0" xfId="0" applyNumberFormat="1" applyFont="1" applyAlignment="1" applyProtection="1">
      <alignment horizontal="left"/>
      <protection locked="0"/>
    </xf>
    <xf numFmtId="168" fontId="28" fillId="0" borderId="0" xfId="0" applyNumberFormat="1" applyFont="1" applyAlignment="1">
      <alignment horizontal="left" wrapText="1"/>
    </xf>
    <xf numFmtId="168" fontId="28" fillId="0" borderId="0" xfId="0" applyNumberFormat="1" applyFont="1" applyAlignment="1">
      <alignment horizontal="left" vertical="center" wrapText="1"/>
    </xf>
    <xf numFmtId="174" fontId="27" fillId="0" borderId="97" xfId="0" applyNumberFormat="1" applyFont="1" applyBorder="1" applyAlignment="1">
      <alignment vertical="top" wrapText="1"/>
    </xf>
    <xf numFmtId="174" fontId="27" fillId="0" borderId="28" xfId="0" applyNumberFormat="1" applyFont="1" applyBorder="1" applyAlignment="1">
      <alignment vertical="top" wrapText="1"/>
    </xf>
    <xf numFmtId="174" fontId="27" fillId="0" borderId="25" xfId="0" applyNumberFormat="1" applyFont="1" applyBorder="1" applyAlignment="1">
      <alignment vertical="top" wrapText="1"/>
    </xf>
    <xf numFmtId="174" fontId="32" fillId="21" borderId="98" xfId="0" applyNumberFormat="1" applyFont="1" applyFill="1" applyBorder="1" applyAlignment="1">
      <alignment vertical="top"/>
    </xf>
    <xf numFmtId="174" fontId="27" fillId="0" borderId="26" xfId="0" applyNumberFormat="1" applyFont="1" applyBorder="1" applyAlignment="1">
      <alignment vertical="top"/>
    </xf>
    <xf numFmtId="174" fontId="27" fillId="0" borderId="25" xfId="0" applyNumberFormat="1" applyFont="1" applyBorder="1" applyAlignment="1">
      <alignment vertical="top"/>
    </xf>
    <xf numFmtId="14" fontId="28" fillId="0" borderId="0" xfId="0" applyNumberFormat="1" applyFont="1" applyAlignment="1" applyProtection="1">
      <alignment horizontal="left"/>
      <protection locked="0"/>
    </xf>
    <xf numFmtId="174" fontId="28" fillId="2" borderId="24" xfId="0" applyNumberFormat="1" applyFont="1" applyFill="1" applyBorder="1" applyAlignment="1">
      <alignment vertical="top"/>
    </xf>
    <xf numFmtId="174" fontId="28" fillId="2" borderId="63" xfId="0" applyNumberFormat="1" applyFont="1" applyFill="1" applyBorder="1" applyAlignment="1">
      <alignment vertical="top"/>
    </xf>
    <xf numFmtId="174" fontId="28" fillId="2" borderId="60" xfId="0" applyNumberFormat="1" applyFont="1" applyFill="1" applyBorder="1" applyAlignment="1">
      <alignment vertical="top"/>
    </xf>
    <xf numFmtId="174" fontId="32" fillId="2" borderId="17" xfId="0" applyNumberFormat="1" applyFont="1" applyFill="1" applyBorder="1" applyAlignment="1">
      <alignment vertical="top"/>
    </xf>
    <xf numFmtId="174" fontId="32" fillId="2" borderId="64" xfId="0" applyNumberFormat="1" applyFont="1" applyFill="1" applyBorder="1" applyAlignment="1">
      <alignment vertical="top"/>
    </xf>
    <xf numFmtId="174" fontId="32" fillId="2" borderId="60" xfId="0" applyNumberFormat="1" applyFont="1" applyFill="1" applyBorder="1" applyAlignment="1">
      <alignment vertical="top"/>
    </xf>
    <xf numFmtId="174" fontId="28" fillId="2" borderId="17" xfId="0" applyNumberFormat="1" applyFont="1" applyFill="1" applyBorder="1" applyAlignment="1">
      <alignment vertical="top"/>
    </xf>
    <xf numFmtId="174" fontId="19" fillId="0" borderId="38" xfId="0" applyNumberFormat="1" applyFont="1" applyBorder="1" applyAlignment="1" applyProtection="1">
      <alignment horizontal="left" vertical="top"/>
      <protection locked="0"/>
    </xf>
    <xf numFmtId="174" fontId="19" fillId="0" borderId="10" xfId="0" applyNumberFormat="1" applyFont="1" applyBorder="1" applyAlignment="1" applyProtection="1">
      <alignment horizontal="left" vertical="top"/>
      <protection locked="0"/>
    </xf>
    <xf numFmtId="174" fontId="27" fillId="0" borderId="38" xfId="0" applyNumberFormat="1" applyFont="1" applyBorder="1" applyAlignment="1" applyProtection="1">
      <alignment horizontal="left" vertical="top"/>
      <protection locked="0"/>
    </xf>
    <xf numFmtId="174" fontId="28" fillId="2" borderId="24" xfId="0" applyNumberFormat="1" applyFont="1" applyFill="1" applyBorder="1" applyAlignment="1" applyProtection="1">
      <alignment horizontal="left" vertical="top"/>
      <protection locked="0"/>
    </xf>
    <xf numFmtId="174" fontId="28" fillId="2" borderId="63" xfId="0" applyNumberFormat="1" applyFont="1" applyFill="1" applyBorder="1" applyAlignment="1" applyProtection="1">
      <alignment horizontal="left" vertical="top"/>
      <protection locked="0"/>
    </xf>
    <xf numFmtId="174" fontId="28" fillId="2" borderId="60" xfId="0" applyNumberFormat="1" applyFont="1" applyFill="1" applyBorder="1" applyAlignment="1" applyProtection="1">
      <alignment horizontal="left" vertical="top"/>
      <protection locked="0"/>
    </xf>
    <xf numFmtId="174" fontId="32" fillId="2" borderId="17" xfId="0" applyNumberFormat="1" applyFont="1" applyFill="1" applyBorder="1" applyAlignment="1" applyProtection="1">
      <alignment vertical="top"/>
      <protection locked="0"/>
    </xf>
    <xf numFmtId="174" fontId="32" fillId="2" borderId="64" xfId="0" applyNumberFormat="1" applyFont="1" applyFill="1" applyBorder="1" applyAlignment="1" applyProtection="1">
      <alignment vertical="top"/>
      <protection locked="0"/>
    </xf>
    <xf numFmtId="174" fontId="32" fillId="2" borderId="60" xfId="0" applyNumberFormat="1" applyFont="1" applyFill="1" applyBorder="1" applyAlignment="1" applyProtection="1">
      <alignment vertical="top"/>
      <protection locked="0"/>
    </xf>
    <xf numFmtId="0" fontId="32" fillId="0" borderId="0" xfId="0" applyFont="1" applyAlignment="1">
      <alignment horizontal="left"/>
    </xf>
    <xf numFmtId="174" fontId="33" fillId="15" borderId="24" xfId="0" applyNumberFormat="1" applyFont="1" applyFill="1" applyBorder="1" applyAlignment="1">
      <alignment vertical="top"/>
    </xf>
    <xf numFmtId="174" fontId="33" fillId="15" borderId="63" xfId="0" applyNumberFormat="1" applyFont="1" applyFill="1" applyBorder="1" applyAlignment="1">
      <alignment vertical="top"/>
    </xf>
    <xf numFmtId="174" fontId="33" fillId="15" borderId="60" xfId="0" applyNumberFormat="1" applyFont="1" applyFill="1" applyBorder="1" applyAlignment="1">
      <alignment vertical="top"/>
    </xf>
    <xf numFmtId="174" fontId="33" fillId="15" borderId="17" xfId="0" applyNumberFormat="1" applyFont="1" applyFill="1" applyBorder="1" applyAlignment="1">
      <alignment vertical="top"/>
    </xf>
    <xf numFmtId="174" fontId="33" fillId="15" borderId="64" xfId="0" applyNumberFormat="1" applyFont="1" applyFill="1" applyBorder="1" applyAlignment="1">
      <alignment vertical="top"/>
    </xf>
    <xf numFmtId="0" fontId="27" fillId="0" borderId="20" xfId="0" applyFont="1" applyBorder="1"/>
    <xf numFmtId="0" fontId="32" fillId="0" borderId="0" xfId="0" applyFont="1"/>
    <xf numFmtId="0" fontId="27" fillId="0" borderId="0" xfId="7" applyFont="1" applyProtection="1">
      <protection locked="0"/>
    </xf>
    <xf numFmtId="0" fontId="27" fillId="0" borderId="0" xfId="7" applyFont="1" applyAlignment="1" applyProtection="1">
      <alignment wrapText="1"/>
      <protection locked="0"/>
    </xf>
    <xf numFmtId="0" fontId="28" fillId="0" borderId="0" xfId="7" applyFont="1" applyAlignment="1" applyProtection="1">
      <alignment horizontal="center"/>
      <protection locked="0"/>
    </xf>
    <xf numFmtId="0" fontId="27" fillId="0" borderId="0" xfId="7" applyFont="1" applyAlignment="1" applyProtection="1">
      <alignment horizontal="right"/>
      <protection locked="0"/>
    </xf>
    <xf numFmtId="0" fontId="29" fillId="0" borderId="0" xfId="0" applyFont="1" applyProtection="1">
      <protection locked="0"/>
    </xf>
    <xf numFmtId="0" fontId="27" fillId="0" borderId="0" xfId="7" applyFont="1" applyAlignment="1" applyProtection="1">
      <alignment horizontal="left"/>
      <protection locked="0"/>
    </xf>
    <xf numFmtId="0" fontId="28" fillId="0" borderId="0" xfId="7" applyFont="1" applyAlignment="1" applyProtection="1">
      <alignment horizontal="left" wrapText="1"/>
      <protection locked="0"/>
    </xf>
    <xf numFmtId="0" fontId="28" fillId="0" borderId="0" xfId="7" applyFont="1" applyProtection="1">
      <protection locked="0"/>
    </xf>
    <xf numFmtId="14" fontId="28" fillId="0" borderId="0" xfId="7" applyNumberFormat="1" applyFont="1" applyAlignment="1" applyProtection="1">
      <alignment horizontal="left"/>
      <protection locked="0"/>
    </xf>
    <xf numFmtId="14" fontId="28" fillId="0" borderId="0" xfId="7" applyNumberFormat="1" applyFont="1" applyAlignment="1" applyProtection="1">
      <alignment horizontal="right"/>
      <protection locked="0"/>
    </xf>
    <xf numFmtId="164" fontId="28" fillId="0" borderId="0" xfId="7" applyNumberFormat="1" applyFont="1" applyAlignment="1" applyProtection="1">
      <alignment horizontal="left"/>
      <protection locked="0"/>
    </xf>
    <xf numFmtId="14" fontId="28" fillId="0" borderId="0" xfId="7" applyNumberFormat="1" applyFont="1" applyAlignment="1" applyProtection="1">
      <alignment horizontal="left" wrapText="1"/>
      <protection locked="0"/>
    </xf>
    <xf numFmtId="0" fontId="28" fillId="0" borderId="0" xfId="7" applyFont="1" applyAlignment="1" applyProtection="1">
      <alignment horizontal="centerContinuous"/>
      <protection locked="0"/>
    </xf>
    <xf numFmtId="0" fontId="27" fillId="0" borderId="0" xfId="7" applyFont="1" applyAlignment="1" applyProtection="1">
      <alignment horizontal="center"/>
      <protection locked="0"/>
    </xf>
    <xf numFmtId="164" fontId="28" fillId="0" borderId="0" xfId="7" applyNumberFormat="1" applyFont="1" applyAlignment="1" applyProtection="1">
      <alignment horizontal="right"/>
      <protection locked="0"/>
    </xf>
    <xf numFmtId="0" fontId="28" fillId="0" borderId="0" xfId="7" applyFont="1" applyAlignment="1" applyProtection="1">
      <alignment horizontal="right" wrapText="1"/>
      <protection locked="0"/>
    </xf>
    <xf numFmtId="0" fontId="28" fillId="0" borderId="20" xfId="7" applyFont="1" applyBorder="1" applyAlignment="1" applyProtection="1">
      <alignment horizontal="center"/>
      <protection locked="0"/>
    </xf>
    <xf numFmtId="0" fontId="28" fillId="0" borderId="30" xfId="7" applyFont="1" applyBorder="1" applyAlignment="1" applyProtection="1">
      <alignment horizontal="right" vertical="center"/>
      <protection locked="0"/>
    </xf>
    <xf numFmtId="38" fontId="19" fillId="0" borderId="65" xfId="17" applyNumberFormat="1" applyFont="1" applyFill="1" applyBorder="1" applyProtection="1">
      <protection locked="0"/>
    </xf>
    <xf numFmtId="38" fontId="19" fillId="0" borderId="40" xfId="17" applyNumberFormat="1" applyFont="1" applyFill="1" applyBorder="1" applyProtection="1">
      <protection locked="0"/>
    </xf>
    <xf numFmtId="38" fontId="19" fillId="0" borderId="100" xfId="17" applyNumberFormat="1" applyFont="1" applyFill="1" applyBorder="1" applyProtection="1">
      <protection locked="0"/>
    </xf>
    <xf numFmtId="38" fontId="28" fillId="21" borderId="17" xfId="17" applyNumberFormat="1" applyFont="1" applyFill="1" applyBorder="1" applyProtection="1"/>
    <xf numFmtId="38" fontId="19" fillId="0" borderId="41" xfId="17" applyNumberFormat="1" applyFont="1" applyFill="1" applyBorder="1" applyProtection="1">
      <protection locked="0"/>
    </xf>
    <xf numFmtId="38" fontId="28" fillId="21" borderId="4" xfId="17" applyNumberFormat="1" applyFont="1" applyFill="1" applyBorder="1" applyProtection="1"/>
    <xf numFmtId="0" fontId="27" fillId="0" borderId="65" xfId="7" applyFont="1" applyBorder="1" applyAlignment="1" applyProtection="1">
      <alignment horizontal="center" vertical="center" wrapText="1"/>
      <protection locked="0"/>
    </xf>
    <xf numFmtId="0" fontId="27" fillId="0" borderId="58" xfId="7" quotePrefix="1" applyFont="1" applyBorder="1" applyAlignment="1" applyProtection="1">
      <alignment horizontal="center" wrapText="1"/>
      <protection locked="0"/>
    </xf>
    <xf numFmtId="0" fontId="27" fillId="0" borderId="61" xfId="7" quotePrefix="1" applyFont="1" applyBorder="1" applyAlignment="1" applyProtection="1">
      <alignment horizontal="center" wrapText="1"/>
      <protection locked="0"/>
    </xf>
    <xf numFmtId="0" fontId="27" fillId="0" borderId="61" xfId="7" applyFont="1" applyBorder="1" applyProtection="1">
      <protection locked="0"/>
    </xf>
    <xf numFmtId="0" fontId="27" fillId="0" borderId="72" xfId="7" applyFont="1" applyBorder="1" applyAlignment="1" applyProtection="1">
      <alignment horizontal="right" wrapText="1"/>
      <protection locked="0"/>
    </xf>
    <xf numFmtId="174" fontId="19" fillId="0" borderId="57" xfId="5" applyNumberFormat="1" applyFont="1" applyFill="1" applyBorder="1" applyProtection="1">
      <protection locked="0"/>
    </xf>
    <xf numFmtId="174" fontId="19" fillId="0" borderId="61" xfId="5" applyNumberFormat="1" applyFont="1" applyFill="1" applyBorder="1" applyProtection="1">
      <protection locked="0"/>
    </xf>
    <xf numFmtId="174" fontId="19" fillId="0" borderId="58" xfId="5" applyNumberFormat="1" applyFont="1" applyFill="1" applyBorder="1" applyProtection="1">
      <protection locked="0"/>
    </xf>
    <xf numFmtId="174" fontId="28" fillId="21" borderId="71" xfId="5" applyNumberFormat="1" applyFont="1" applyFill="1" applyBorder="1" applyProtection="1"/>
    <xf numFmtId="174" fontId="19" fillId="0" borderId="44" xfId="5" applyNumberFormat="1" applyFont="1" applyFill="1" applyBorder="1" applyProtection="1">
      <protection locked="0"/>
    </xf>
    <xf numFmtId="0" fontId="27" fillId="0" borderId="38" xfId="7" applyFont="1" applyBorder="1" applyAlignment="1" applyProtection="1">
      <alignment horizontal="center" vertical="center"/>
      <protection locked="0"/>
    </xf>
    <xf numFmtId="0" fontId="27" fillId="0" borderId="31" xfId="7" quotePrefix="1" applyFont="1" applyBorder="1" applyAlignment="1" applyProtection="1">
      <alignment horizontal="center"/>
      <protection locked="0"/>
    </xf>
    <xf numFmtId="0" fontId="27" fillId="0" borderId="10" xfId="7" quotePrefix="1" applyFont="1" applyBorder="1" applyAlignment="1" applyProtection="1">
      <alignment horizontal="center"/>
      <protection locked="0"/>
    </xf>
    <xf numFmtId="0" fontId="27" fillId="0" borderId="10" xfId="7" applyFont="1" applyBorder="1" applyAlignment="1" applyProtection="1">
      <alignment wrapText="1"/>
      <protection locked="0"/>
    </xf>
    <xf numFmtId="0" fontId="27" fillId="0" borderId="67" xfId="7" applyFont="1" applyBorder="1" applyAlignment="1" applyProtection="1">
      <alignment horizontal="right" wrapText="1"/>
      <protection locked="0"/>
    </xf>
    <xf numFmtId="174" fontId="19" fillId="0" borderId="38" xfId="5" applyNumberFormat="1" applyFont="1" applyFill="1" applyBorder="1" applyProtection="1">
      <protection locked="0"/>
    </xf>
    <xf numFmtId="174" fontId="19" fillId="0" borderId="10" xfId="5" applyNumberFormat="1" applyFont="1" applyFill="1" applyBorder="1" applyProtection="1">
      <protection locked="0"/>
    </xf>
    <xf numFmtId="174" fontId="19" fillId="0" borderId="31" xfId="5" applyNumberFormat="1" applyFont="1" applyFill="1" applyBorder="1" applyProtection="1">
      <protection locked="0"/>
    </xf>
    <xf numFmtId="174" fontId="28" fillId="21" borderId="74" xfId="5" applyNumberFormat="1" applyFont="1" applyFill="1" applyBorder="1" applyProtection="1"/>
    <xf numFmtId="0" fontId="27" fillId="0" borderId="19" xfId="7" applyFont="1" applyBorder="1" applyAlignment="1" applyProtection="1">
      <alignment wrapText="1"/>
      <protection locked="0"/>
    </xf>
    <xf numFmtId="0" fontId="27" fillId="0" borderId="38" xfId="7" applyFont="1" applyBorder="1" applyAlignment="1" applyProtection="1">
      <alignment horizontal="center" vertical="center" wrapText="1"/>
      <protection locked="0"/>
    </xf>
    <xf numFmtId="0" fontId="27" fillId="0" borderId="31" xfId="7" quotePrefix="1" applyFont="1" applyBorder="1" applyAlignment="1" applyProtection="1">
      <alignment horizontal="center" wrapText="1"/>
      <protection locked="0"/>
    </xf>
    <xf numFmtId="0" fontId="27" fillId="0" borderId="10" xfId="7" quotePrefix="1" applyFont="1" applyBorder="1" applyAlignment="1" applyProtection="1">
      <alignment horizontal="center" wrapText="1"/>
      <protection locked="0"/>
    </xf>
    <xf numFmtId="0" fontId="27" fillId="0" borderId="10" xfId="7" applyFont="1" applyBorder="1" applyProtection="1">
      <protection locked="0"/>
    </xf>
    <xf numFmtId="0" fontId="19" fillId="0" borderId="67" xfId="7" applyFont="1" applyBorder="1" applyAlignment="1" applyProtection="1">
      <alignment wrapText="1"/>
      <protection locked="0"/>
    </xf>
    <xf numFmtId="174" fontId="19" fillId="0" borderId="46" xfId="5" applyNumberFormat="1" applyFont="1" applyFill="1" applyBorder="1" applyProtection="1">
      <protection locked="0"/>
    </xf>
    <xf numFmtId="0" fontId="27" fillId="0" borderId="97" xfId="7" applyFont="1" applyBorder="1" applyAlignment="1" applyProtection="1">
      <alignment horizontal="center" vertical="center"/>
      <protection locked="0"/>
    </xf>
    <xf numFmtId="0" fontId="27" fillId="0" borderId="19" xfId="7" applyFont="1" applyBorder="1" applyProtection="1">
      <protection locked="0"/>
    </xf>
    <xf numFmtId="0" fontId="37" fillId="0" borderId="10" xfId="7" applyFont="1" applyBorder="1" applyAlignment="1" applyProtection="1">
      <alignment wrapText="1"/>
      <protection locked="0"/>
    </xf>
    <xf numFmtId="174" fontId="19" fillId="0" borderId="38" xfId="18" applyNumberFormat="1" applyFont="1" applyFill="1" applyBorder="1" applyProtection="1">
      <protection locked="0"/>
    </xf>
    <xf numFmtId="174" fontId="19" fillId="0" borderId="10" xfId="18" applyNumberFormat="1" applyFont="1" applyFill="1" applyBorder="1" applyProtection="1">
      <protection locked="0"/>
    </xf>
    <xf numFmtId="0" fontId="28" fillId="0" borderId="10" xfId="7" applyFont="1" applyBorder="1" applyProtection="1">
      <protection locked="0"/>
    </xf>
    <xf numFmtId="0" fontId="27" fillId="0" borderId="25" xfId="7" quotePrefix="1" applyFont="1" applyBorder="1" applyAlignment="1" applyProtection="1">
      <alignment horizontal="center"/>
      <protection locked="0"/>
    </xf>
    <xf numFmtId="0" fontId="27" fillId="0" borderId="28" xfId="7" quotePrefix="1" applyFont="1" applyBorder="1" applyAlignment="1" applyProtection="1">
      <alignment horizontal="center"/>
      <protection locked="0"/>
    </xf>
    <xf numFmtId="0" fontId="27" fillId="0" borderId="28" xfId="7" applyFont="1" applyBorder="1" applyProtection="1">
      <protection locked="0"/>
    </xf>
    <xf numFmtId="0" fontId="27" fillId="0" borderId="66" xfId="7" applyFont="1" applyBorder="1" applyAlignment="1" applyProtection="1">
      <alignment horizontal="right" wrapText="1"/>
      <protection locked="0"/>
    </xf>
    <xf numFmtId="174" fontId="19" fillId="0" borderId="97" xfId="5" applyNumberFormat="1" applyFont="1" applyFill="1" applyBorder="1" applyProtection="1">
      <protection locked="0"/>
    </xf>
    <xf numFmtId="174" fontId="19" fillId="0" borderId="28" xfId="5" applyNumberFormat="1" applyFont="1" applyFill="1" applyBorder="1" applyProtection="1">
      <protection locked="0"/>
    </xf>
    <xf numFmtId="174" fontId="19" fillId="0" borderId="25" xfId="5" applyNumberFormat="1" applyFont="1" applyFill="1" applyBorder="1" applyProtection="1">
      <protection locked="0"/>
    </xf>
    <xf numFmtId="174" fontId="28" fillId="21" borderId="98" xfId="5" applyNumberFormat="1" applyFont="1" applyFill="1" applyBorder="1" applyProtection="1"/>
    <xf numFmtId="0" fontId="28" fillId="2" borderId="24" xfId="7" applyFont="1" applyFill="1" applyBorder="1" applyAlignment="1" applyProtection="1">
      <alignment horizontal="center" textRotation="90" wrapText="1"/>
      <protection locked="0"/>
    </xf>
    <xf numFmtId="0" fontId="28" fillId="2" borderId="60" xfId="7" applyFont="1" applyFill="1" applyBorder="1" applyAlignment="1" applyProtection="1">
      <alignment horizontal="center" textRotation="90" wrapText="1"/>
      <protection locked="0"/>
    </xf>
    <xf numFmtId="0" fontId="27" fillId="2" borderId="63" xfId="7" quotePrefix="1" applyFont="1" applyFill="1" applyBorder="1" applyAlignment="1" applyProtection="1">
      <alignment horizontal="center"/>
      <protection locked="0"/>
    </xf>
    <xf numFmtId="0" fontId="28" fillId="2" borderId="63" xfId="7" applyFont="1" applyFill="1" applyBorder="1" applyProtection="1">
      <protection locked="0"/>
    </xf>
    <xf numFmtId="0" fontId="27" fillId="2" borderId="63" xfId="7" applyFont="1" applyFill="1" applyBorder="1" applyProtection="1">
      <protection locked="0"/>
    </xf>
    <xf numFmtId="0" fontId="27" fillId="2" borderId="35" xfId="7" applyFont="1" applyFill="1" applyBorder="1" applyAlignment="1" applyProtection="1">
      <alignment horizontal="right" wrapText="1"/>
      <protection locked="0"/>
    </xf>
    <xf numFmtId="174" fontId="28" fillId="2" borderId="24" xfId="5" applyNumberFormat="1" applyFont="1" applyFill="1" applyBorder="1" applyProtection="1"/>
    <xf numFmtId="174" fontId="28" fillId="2" borderId="63" xfId="5" applyNumberFormat="1" applyFont="1" applyFill="1" applyBorder="1" applyProtection="1"/>
    <xf numFmtId="174" fontId="28" fillId="2" borderId="60" xfId="5" applyNumberFormat="1" applyFont="1" applyFill="1" applyBorder="1" applyProtection="1"/>
    <xf numFmtId="174" fontId="28" fillId="2" borderId="17" xfId="5" applyNumberFormat="1" applyFont="1" applyFill="1" applyBorder="1" applyProtection="1"/>
    <xf numFmtId="0" fontId="27" fillId="0" borderId="61" xfId="7" applyFont="1" applyBorder="1" applyAlignment="1" applyProtection="1">
      <alignment wrapText="1"/>
      <protection locked="0"/>
    </xf>
    <xf numFmtId="174" fontId="19" fillId="0" borderId="89" xfId="5" applyNumberFormat="1" applyFont="1" applyFill="1" applyBorder="1" applyProtection="1">
      <protection locked="0"/>
    </xf>
    <xf numFmtId="0" fontId="27" fillId="0" borderId="10" xfId="7" quotePrefix="1" applyFont="1" applyBorder="1" applyAlignment="1" applyProtection="1">
      <alignment horizontal="center" vertical="center" wrapText="1"/>
      <protection locked="0"/>
    </xf>
    <xf numFmtId="174" fontId="19" fillId="0" borderId="32" xfId="5" applyNumberFormat="1" applyFont="1" applyFill="1" applyBorder="1" applyProtection="1">
      <protection locked="0"/>
    </xf>
    <xf numFmtId="0" fontId="27" fillId="0" borderId="28" xfId="7" quotePrefix="1" applyFont="1" applyBorder="1" applyAlignment="1" applyProtection="1">
      <alignment horizontal="center" vertical="center" wrapText="1"/>
      <protection locked="0"/>
    </xf>
    <xf numFmtId="0" fontId="27" fillId="0" borderId="28" xfId="7" quotePrefix="1" applyFont="1" applyBorder="1" applyAlignment="1" applyProtection="1">
      <alignment horizontal="center" wrapText="1"/>
      <protection locked="0"/>
    </xf>
    <xf numFmtId="0" fontId="27" fillId="0" borderId="28" xfId="7" applyFont="1" applyBorder="1" applyAlignment="1" applyProtection="1">
      <alignment wrapText="1"/>
      <protection locked="0"/>
    </xf>
    <xf numFmtId="174" fontId="19" fillId="0" borderId="26" xfId="5" applyNumberFormat="1" applyFont="1" applyFill="1" applyBorder="1" applyProtection="1">
      <protection locked="0"/>
    </xf>
    <xf numFmtId="0" fontId="28" fillId="2" borderId="24" xfId="7" applyFont="1" applyFill="1" applyBorder="1" applyAlignment="1" applyProtection="1">
      <alignment horizontal="center" vertical="center" textRotation="90" wrapText="1"/>
      <protection locked="0"/>
    </xf>
    <xf numFmtId="0" fontId="28" fillId="2" borderId="63" xfId="7" applyFont="1" applyFill="1" applyBorder="1" applyAlignment="1" applyProtection="1">
      <alignment horizontal="center" vertical="center" textRotation="90" wrapText="1"/>
      <protection locked="0"/>
    </xf>
    <xf numFmtId="0" fontId="27" fillId="2" borderId="63" xfId="7" quotePrefix="1" applyFont="1" applyFill="1" applyBorder="1" applyAlignment="1" applyProtection="1">
      <alignment horizontal="center" wrapText="1"/>
      <protection locked="0"/>
    </xf>
    <xf numFmtId="0" fontId="28" fillId="2" borderId="35" xfId="7" applyFont="1" applyFill="1" applyBorder="1" applyAlignment="1" applyProtection="1">
      <alignment wrapText="1"/>
      <protection locked="0"/>
    </xf>
    <xf numFmtId="174" fontId="28" fillId="2" borderId="64" xfId="5" applyNumberFormat="1" applyFont="1" applyFill="1" applyBorder="1" applyProtection="1"/>
    <xf numFmtId="168" fontId="27" fillId="0" borderId="0" xfId="7" applyNumberFormat="1" applyFont="1" applyProtection="1">
      <protection locked="0"/>
    </xf>
    <xf numFmtId="168" fontId="27" fillId="0" borderId="10" xfId="7" applyNumberFormat="1" applyFont="1" applyBorder="1" applyAlignment="1" applyProtection="1">
      <alignment horizontal="left"/>
      <protection locked="0"/>
    </xf>
    <xf numFmtId="0" fontId="27" fillId="0" borderId="31" xfId="7" applyFont="1" applyBorder="1" applyAlignment="1" applyProtection="1">
      <alignment horizontal="right" wrapText="1"/>
      <protection locked="0"/>
    </xf>
    <xf numFmtId="174" fontId="19" fillId="0" borderId="57" xfId="5" applyNumberFormat="1" applyFont="1" applyFill="1" applyBorder="1" applyAlignment="1" applyProtection="1">
      <protection locked="0"/>
    </xf>
    <xf numFmtId="174" fontId="19" fillId="0" borderId="61" xfId="5" applyNumberFormat="1" applyFont="1" applyFill="1" applyBorder="1" applyAlignment="1" applyProtection="1">
      <protection locked="0"/>
    </xf>
    <xf numFmtId="174" fontId="19" fillId="0" borderId="72" xfId="5" applyNumberFormat="1" applyFont="1" applyFill="1" applyBorder="1" applyAlignment="1" applyProtection="1">
      <protection locked="0"/>
    </xf>
    <xf numFmtId="174" fontId="28" fillId="21" borderId="71" xfId="5" applyNumberFormat="1" applyFont="1" applyFill="1" applyBorder="1" applyAlignment="1" applyProtection="1"/>
    <xf numFmtId="174" fontId="19" fillId="0" borderId="32" xfId="5" applyNumberFormat="1" applyFont="1" applyFill="1" applyBorder="1" applyAlignment="1" applyProtection="1">
      <protection locked="0"/>
    </xf>
    <xf numFmtId="174" fontId="19" fillId="0" borderId="31" xfId="5" applyNumberFormat="1" applyFont="1" applyFill="1" applyBorder="1" applyAlignment="1" applyProtection="1">
      <protection locked="0"/>
    </xf>
    <xf numFmtId="168" fontId="27" fillId="0" borderId="19" xfId="7" applyNumberFormat="1" applyFont="1" applyBorder="1" applyProtection="1">
      <protection locked="0"/>
    </xf>
    <xf numFmtId="168" fontId="27" fillId="0" borderId="10" xfId="7" applyNumberFormat="1" applyFont="1" applyBorder="1" applyAlignment="1" applyProtection="1">
      <alignment horizontal="justify" wrapText="1"/>
      <protection locked="0"/>
    </xf>
    <xf numFmtId="174" fontId="19" fillId="0" borderId="38" xfId="5" applyNumberFormat="1" applyFont="1" applyFill="1" applyBorder="1" applyAlignment="1" applyProtection="1">
      <protection locked="0"/>
    </xf>
    <xf numFmtId="174" fontId="19" fillId="0" borderId="10" xfId="5" applyNumberFormat="1" applyFont="1" applyFill="1" applyBorder="1" applyAlignment="1" applyProtection="1">
      <protection locked="0"/>
    </xf>
    <xf numFmtId="174" fontId="19" fillId="0" borderId="67" xfId="5" applyNumberFormat="1" applyFont="1" applyFill="1" applyBorder="1" applyAlignment="1" applyProtection="1">
      <protection locked="0"/>
    </xf>
    <xf numFmtId="174" fontId="28" fillId="21" borderId="74" xfId="5" applyNumberFormat="1" applyFont="1" applyFill="1" applyBorder="1" applyAlignment="1" applyProtection="1"/>
    <xf numFmtId="168" fontId="27" fillId="0" borderId="10" xfId="7" applyNumberFormat="1" applyFont="1" applyBorder="1" applyProtection="1">
      <protection locked="0"/>
    </xf>
    <xf numFmtId="168" fontId="27" fillId="0" borderId="10" xfId="7" applyNumberFormat="1" applyFont="1" applyBorder="1" applyAlignment="1" applyProtection="1">
      <alignment wrapText="1"/>
      <protection locked="0"/>
    </xf>
    <xf numFmtId="168" fontId="19" fillId="0" borderId="31" xfId="7" applyNumberFormat="1" applyFont="1" applyBorder="1" applyAlignment="1" applyProtection="1">
      <alignment horizontal="left" wrapText="1"/>
      <protection locked="0"/>
    </xf>
    <xf numFmtId="0" fontId="27" fillId="0" borderId="38" xfId="7" quotePrefix="1" applyFont="1" applyBorder="1" applyAlignment="1" applyProtection="1">
      <alignment horizontal="center" vertical="center" wrapText="1"/>
      <protection locked="0"/>
    </xf>
    <xf numFmtId="168" fontId="27" fillId="0" borderId="31" xfId="7" applyNumberFormat="1" applyFont="1" applyBorder="1" applyAlignment="1" applyProtection="1">
      <alignment horizontal="right" wrapText="1"/>
      <protection locked="0"/>
    </xf>
    <xf numFmtId="0" fontId="27" fillId="0" borderId="59" xfId="7" quotePrefix="1" applyFont="1" applyBorder="1" applyAlignment="1" applyProtection="1">
      <alignment horizontal="center" vertical="center" wrapText="1"/>
      <protection locked="0"/>
    </xf>
    <xf numFmtId="0" fontId="27" fillId="0" borderId="77" xfId="7" quotePrefix="1" applyFont="1" applyBorder="1" applyAlignment="1" applyProtection="1">
      <alignment horizontal="center" wrapText="1"/>
      <protection locked="0"/>
    </xf>
    <xf numFmtId="168" fontId="27" fillId="0" borderId="77" xfId="7" applyNumberFormat="1" applyFont="1" applyBorder="1" applyAlignment="1" applyProtection="1">
      <alignment wrapText="1"/>
      <protection locked="0"/>
    </xf>
    <xf numFmtId="168" fontId="27" fillId="0" borderId="77" xfId="7" applyNumberFormat="1" applyFont="1" applyBorder="1" applyAlignment="1" applyProtection="1">
      <alignment horizontal="left"/>
      <protection locked="0"/>
    </xf>
    <xf numFmtId="168" fontId="27" fillId="0" borderId="101" xfId="7" applyNumberFormat="1" applyFont="1" applyBorder="1" applyAlignment="1" applyProtection="1">
      <alignment horizontal="right" wrapText="1"/>
      <protection locked="0"/>
    </xf>
    <xf numFmtId="174" fontId="19" fillId="0" borderId="59" xfId="5" applyNumberFormat="1" applyFont="1" applyFill="1" applyBorder="1" applyAlignment="1" applyProtection="1">
      <protection locked="0"/>
    </xf>
    <xf numFmtId="174" fontId="19" fillId="0" borderId="77" xfId="5" applyNumberFormat="1" applyFont="1" applyFill="1" applyBorder="1" applyAlignment="1" applyProtection="1">
      <protection locked="0"/>
    </xf>
    <xf numFmtId="174" fontId="19" fillId="0" borderId="50" xfId="5" applyNumberFormat="1" applyFont="1" applyFill="1" applyBorder="1" applyAlignment="1" applyProtection="1">
      <protection locked="0"/>
    </xf>
    <xf numFmtId="174" fontId="28" fillId="21" borderId="76" xfId="5" applyNumberFormat="1" applyFont="1" applyFill="1" applyBorder="1" applyAlignment="1" applyProtection="1"/>
    <xf numFmtId="174" fontId="19" fillId="0" borderId="90" xfId="5" applyNumberFormat="1" applyFont="1" applyFill="1" applyBorder="1" applyAlignment="1" applyProtection="1">
      <protection locked="0"/>
    </xf>
    <xf numFmtId="174" fontId="19" fillId="0" borderId="101" xfId="5" applyNumberFormat="1" applyFont="1" applyFill="1" applyBorder="1" applyAlignment="1" applyProtection="1">
      <protection locked="0"/>
    </xf>
    <xf numFmtId="0" fontId="27" fillId="0" borderId="32" xfId="7" applyFont="1" applyBorder="1" applyAlignment="1" applyProtection="1">
      <alignment horizontal="center" vertical="center" wrapText="1"/>
      <protection locked="0"/>
    </xf>
    <xf numFmtId="174" fontId="19" fillId="0" borderId="58" xfId="5" applyNumberFormat="1" applyFont="1" applyFill="1" applyBorder="1" applyAlignment="1" applyProtection="1">
      <protection locked="0"/>
    </xf>
    <xf numFmtId="174" fontId="19" fillId="0" borderId="89" xfId="5" applyNumberFormat="1" applyFont="1" applyFill="1" applyBorder="1" applyAlignment="1" applyProtection="1">
      <protection locked="0"/>
    </xf>
    <xf numFmtId="174" fontId="19" fillId="0" borderId="38" xfId="18" applyNumberFormat="1" applyFont="1" applyFill="1" applyBorder="1" applyAlignment="1" applyProtection="1">
      <protection locked="0"/>
    </xf>
    <xf numFmtId="174" fontId="19" fillId="0" borderId="10" xfId="18" applyNumberFormat="1" applyFont="1" applyFill="1" applyBorder="1" applyAlignment="1" applyProtection="1">
      <protection locked="0"/>
    </xf>
    <xf numFmtId="174" fontId="19" fillId="0" borderId="31" xfId="18" applyNumberFormat="1" applyFont="1" applyFill="1" applyBorder="1" applyAlignment="1" applyProtection="1">
      <protection locked="0"/>
    </xf>
    <xf numFmtId="174" fontId="28" fillId="21" borderId="74" xfId="18" applyNumberFormat="1" applyFont="1" applyFill="1" applyBorder="1" applyAlignment="1" applyProtection="1"/>
    <xf numFmtId="174" fontId="19" fillId="0" borderId="32" xfId="18" applyNumberFormat="1" applyFont="1" applyFill="1" applyBorder="1" applyAlignment="1" applyProtection="1">
      <protection locked="0"/>
    </xf>
    <xf numFmtId="174" fontId="19" fillId="0" borderId="67" xfId="18" applyNumberFormat="1" applyFont="1" applyFill="1" applyBorder="1" applyAlignment="1" applyProtection="1">
      <protection locked="0"/>
    </xf>
    <xf numFmtId="0" fontId="27" fillId="0" borderId="26" xfId="7" applyFont="1" applyBorder="1" applyAlignment="1" applyProtection="1">
      <alignment horizontal="center" vertical="center" wrapText="1"/>
      <protection locked="0"/>
    </xf>
    <xf numFmtId="168" fontId="27" fillId="0" borderId="28" xfId="7" applyNumberFormat="1" applyFont="1" applyBorder="1" applyProtection="1">
      <protection locked="0"/>
    </xf>
    <xf numFmtId="168" fontId="27" fillId="0" borderId="28" xfId="7" applyNumberFormat="1" applyFont="1" applyBorder="1" applyAlignment="1" applyProtection="1">
      <alignment horizontal="left"/>
      <protection locked="0"/>
    </xf>
    <xf numFmtId="0" fontId="27" fillId="0" borderId="25" xfId="7" applyFont="1" applyBorder="1" applyAlignment="1" applyProtection="1">
      <alignment horizontal="right" wrapText="1"/>
      <protection locked="0"/>
    </xf>
    <xf numFmtId="174" fontId="28" fillId="21" borderId="76" xfId="18" applyNumberFormat="1" applyFont="1" applyFill="1" applyBorder="1" applyAlignment="1" applyProtection="1"/>
    <xf numFmtId="174" fontId="28" fillId="21" borderId="98" xfId="5" applyNumberFormat="1" applyFont="1" applyFill="1" applyBorder="1" applyAlignment="1" applyProtection="1"/>
    <xf numFmtId="0" fontId="27" fillId="2" borderId="24" xfId="7" applyFont="1" applyFill="1" applyBorder="1" applyAlignment="1" applyProtection="1">
      <alignment horizontal="center"/>
      <protection locked="0"/>
    </xf>
    <xf numFmtId="0" fontId="27" fillId="2" borderId="63" xfId="7" applyFont="1" applyFill="1" applyBorder="1" applyAlignment="1" applyProtection="1">
      <alignment horizontal="center"/>
      <protection locked="0"/>
    </xf>
    <xf numFmtId="168" fontId="28" fillId="2" borderId="63" xfId="7" applyNumberFormat="1" applyFont="1" applyFill="1" applyBorder="1" applyAlignment="1" applyProtection="1">
      <alignment horizontal="left"/>
      <protection locked="0"/>
    </xf>
    <xf numFmtId="168" fontId="28" fillId="2" borderId="60" xfId="7" applyNumberFormat="1" applyFont="1" applyFill="1" applyBorder="1" applyAlignment="1" applyProtection="1">
      <alignment horizontal="left" wrapText="1"/>
      <protection locked="0"/>
    </xf>
    <xf numFmtId="174" fontId="28" fillId="2" borderId="24" xfId="5" applyNumberFormat="1" applyFont="1" applyFill="1" applyBorder="1" applyAlignment="1" applyProtection="1"/>
    <xf numFmtId="174" fontId="28" fillId="2" borderId="63" xfId="5" applyNumberFormat="1" applyFont="1" applyFill="1" applyBorder="1" applyAlignment="1" applyProtection="1"/>
    <xf numFmtId="174" fontId="28" fillId="2" borderId="60" xfId="5" applyNumberFormat="1" applyFont="1" applyFill="1" applyBorder="1" applyAlignment="1" applyProtection="1"/>
    <xf numFmtId="174" fontId="28" fillId="2" borderId="17" xfId="5" applyNumberFormat="1" applyFont="1" applyFill="1" applyBorder="1" applyAlignment="1" applyProtection="1"/>
    <xf numFmtId="174" fontId="28" fillId="2" borderId="64" xfId="5" applyNumberFormat="1" applyFont="1" applyFill="1" applyBorder="1" applyAlignment="1" applyProtection="1"/>
    <xf numFmtId="174" fontId="28" fillId="2" borderId="35" xfId="5" applyNumberFormat="1" applyFont="1" applyFill="1" applyBorder="1" applyAlignment="1" applyProtection="1"/>
    <xf numFmtId="168" fontId="28" fillId="0" borderId="38" xfId="7" applyNumberFormat="1" applyFont="1" applyBorder="1" applyAlignment="1" applyProtection="1">
      <alignment horizontal="center" vertical="center" textRotation="90" wrapText="1"/>
      <protection locked="0"/>
    </xf>
    <xf numFmtId="49" fontId="27" fillId="0" borderId="31" xfId="7" applyNumberFormat="1" applyFont="1" applyBorder="1" applyAlignment="1" applyProtection="1">
      <alignment horizontal="right" wrapText="1"/>
      <protection locked="0"/>
    </xf>
    <xf numFmtId="168" fontId="27" fillId="0" borderId="10" xfId="7" applyNumberFormat="1" applyFont="1" applyBorder="1" applyAlignment="1" applyProtection="1">
      <alignment horizontal="left" wrapText="1"/>
      <protection locked="0"/>
    </xf>
    <xf numFmtId="168" fontId="27" fillId="0" borderId="10" xfId="7" applyNumberFormat="1" applyFont="1" applyBorder="1" applyAlignment="1" applyProtection="1">
      <alignment horizontal="justify" vertical="center" wrapText="1"/>
      <protection locked="0"/>
    </xf>
    <xf numFmtId="168" fontId="27" fillId="0" borderId="10" xfId="7" applyNumberFormat="1" applyFont="1" applyBorder="1" applyAlignment="1" applyProtection="1">
      <alignment horizontal="left" vertical="center"/>
      <protection locked="0"/>
    </xf>
    <xf numFmtId="49" fontId="27" fillId="0" borderId="31" xfId="7" applyNumberFormat="1" applyFont="1" applyBorder="1" applyAlignment="1" applyProtection="1">
      <alignment horizontal="right" vertical="center" wrapText="1"/>
      <protection locked="0"/>
    </xf>
    <xf numFmtId="168" fontId="27" fillId="0" borderId="10" xfId="7" applyNumberFormat="1" applyFont="1" applyBorder="1" applyAlignment="1" applyProtection="1">
      <alignment horizontal="left" vertical="center" wrapText="1"/>
      <protection locked="0"/>
    </xf>
    <xf numFmtId="0" fontId="27" fillId="0" borderId="10" xfId="19" applyFont="1" applyBorder="1" applyAlignment="1" applyProtection="1">
      <alignment horizontal="left" wrapText="1"/>
      <protection locked="0"/>
    </xf>
    <xf numFmtId="0" fontId="27" fillId="0" borderId="97" xfId="7" quotePrefix="1" applyFont="1" applyBorder="1" applyAlignment="1" applyProtection="1">
      <alignment horizontal="center" vertical="center" wrapText="1"/>
      <protection locked="0"/>
    </xf>
    <xf numFmtId="174" fontId="19" fillId="0" borderId="97" xfId="5" applyNumberFormat="1" applyFont="1" applyFill="1" applyBorder="1" applyAlignment="1" applyProtection="1">
      <protection locked="0"/>
    </xf>
    <xf numFmtId="174" fontId="19" fillId="0" borderId="28" xfId="5" applyNumberFormat="1" applyFont="1" applyFill="1" applyBorder="1" applyAlignment="1" applyProtection="1">
      <protection locked="0"/>
    </xf>
    <xf numFmtId="174" fontId="19" fillId="0" borderId="25" xfId="5" applyNumberFormat="1" applyFont="1" applyFill="1" applyBorder="1" applyAlignment="1" applyProtection="1">
      <protection locked="0"/>
    </xf>
    <xf numFmtId="174" fontId="19" fillId="0" borderId="26" xfId="5" applyNumberFormat="1" applyFont="1" applyFill="1" applyBorder="1" applyAlignment="1" applyProtection="1">
      <protection locked="0"/>
    </xf>
    <xf numFmtId="168" fontId="28" fillId="2" borderId="24" xfId="7" applyNumberFormat="1" applyFont="1" applyFill="1" applyBorder="1" applyAlignment="1" applyProtection="1">
      <alignment horizontal="center" textRotation="90" wrapText="1"/>
      <protection locked="0"/>
    </xf>
    <xf numFmtId="168" fontId="28" fillId="2" borderId="63" xfId="7" applyNumberFormat="1" applyFont="1" applyFill="1" applyBorder="1" applyAlignment="1" applyProtection="1">
      <alignment horizontal="center" textRotation="90" wrapText="1"/>
      <protection locked="0"/>
    </xf>
    <xf numFmtId="0" fontId="27" fillId="0" borderId="57" xfId="7" applyFont="1" applyBorder="1" applyAlignment="1" applyProtection="1">
      <alignment horizontal="center" vertical="center" wrapText="1"/>
      <protection locked="0"/>
    </xf>
    <xf numFmtId="168" fontId="27" fillId="0" borderId="61" xfId="7" applyNumberFormat="1" applyFont="1" applyBorder="1" applyProtection="1">
      <protection locked="0"/>
    </xf>
    <xf numFmtId="168" fontId="27" fillId="0" borderId="61" xfId="7" applyNumberFormat="1" applyFont="1" applyBorder="1" applyAlignment="1" applyProtection="1">
      <alignment horizontal="left"/>
      <protection locked="0"/>
    </xf>
    <xf numFmtId="0" fontId="27" fillId="0" borderId="58" xfId="7" applyFont="1" applyBorder="1" applyAlignment="1" applyProtection="1">
      <alignment horizontal="right" wrapText="1"/>
      <protection locked="0"/>
    </xf>
    <xf numFmtId="0" fontId="27" fillId="0" borderId="59" xfId="7" applyFont="1" applyBorder="1" applyAlignment="1" applyProtection="1">
      <alignment horizontal="center" vertical="center" wrapText="1"/>
      <protection locked="0"/>
    </xf>
    <xf numFmtId="168" fontId="27" fillId="0" borderId="77" xfId="7" applyNumberFormat="1" applyFont="1" applyBorder="1" applyProtection="1">
      <protection locked="0"/>
    </xf>
    <xf numFmtId="0" fontId="27" fillId="0" borderId="101" xfId="7" applyFont="1" applyBorder="1" applyAlignment="1" applyProtection="1">
      <alignment horizontal="right" wrapText="1"/>
      <protection locked="0"/>
    </xf>
    <xf numFmtId="0" fontId="27" fillId="2" borderId="65" xfId="7" applyFont="1" applyFill="1" applyBorder="1" applyAlignment="1" applyProtection="1">
      <alignment wrapText="1"/>
      <protection locked="0"/>
    </xf>
    <xf numFmtId="168" fontId="28" fillId="2" borderId="40" xfId="7" applyNumberFormat="1" applyFont="1" applyFill="1" applyBorder="1" applyAlignment="1" applyProtection="1">
      <alignment horizontal="center" textRotation="90" wrapText="1"/>
      <protection locked="0"/>
    </xf>
    <xf numFmtId="0" fontId="27" fillId="2" borderId="40" xfId="7" quotePrefix="1" applyFont="1" applyFill="1" applyBorder="1" applyAlignment="1" applyProtection="1">
      <alignment horizontal="center" wrapText="1"/>
      <protection locked="0"/>
    </xf>
    <xf numFmtId="168" fontId="28" fillId="2" borderId="40" xfId="7" applyNumberFormat="1" applyFont="1" applyFill="1" applyBorder="1" applyAlignment="1" applyProtection="1">
      <alignment horizontal="left"/>
      <protection locked="0"/>
    </xf>
    <xf numFmtId="0" fontId="27" fillId="2" borderId="100" xfId="7" applyFont="1" applyFill="1" applyBorder="1" applyAlignment="1" applyProtection="1">
      <alignment horizontal="right" wrapText="1"/>
      <protection locked="0"/>
    </xf>
    <xf numFmtId="174" fontId="28" fillId="2" borderId="65" xfId="5" applyNumberFormat="1" applyFont="1" applyFill="1" applyBorder="1" applyAlignment="1" applyProtection="1"/>
    <xf numFmtId="174" fontId="28" fillId="2" borderId="40" xfId="5" applyNumberFormat="1" applyFont="1" applyFill="1" applyBorder="1" applyAlignment="1" applyProtection="1"/>
    <xf numFmtId="174" fontId="28" fillId="2" borderId="100" xfId="5" applyNumberFormat="1" applyFont="1" applyFill="1" applyBorder="1" applyAlignment="1" applyProtection="1"/>
    <xf numFmtId="174" fontId="28" fillId="2" borderId="13" xfId="5" applyNumberFormat="1" applyFont="1" applyFill="1" applyBorder="1" applyAlignment="1" applyProtection="1"/>
    <xf numFmtId="174" fontId="28" fillId="2" borderId="107" xfId="5" applyNumberFormat="1" applyFont="1" applyFill="1" applyBorder="1" applyAlignment="1" applyProtection="1"/>
    <xf numFmtId="0" fontId="27" fillId="0" borderId="37" xfId="7" applyFont="1" applyBorder="1" applyAlignment="1" applyProtection="1">
      <alignment horizontal="center" vertical="center" wrapText="1"/>
      <protection locked="0"/>
    </xf>
    <xf numFmtId="0" fontId="27" fillId="0" borderId="34" xfId="7" quotePrefix="1" applyFont="1" applyBorder="1" applyAlignment="1" applyProtection="1">
      <alignment horizontal="center" wrapText="1"/>
      <protection locked="0"/>
    </xf>
    <xf numFmtId="168" fontId="27" fillId="0" borderId="34" xfId="7" applyNumberFormat="1" applyFont="1" applyBorder="1" applyAlignment="1" applyProtection="1">
      <alignment wrapText="1"/>
      <protection locked="0"/>
    </xf>
    <xf numFmtId="168" fontId="27" fillId="0" borderId="34" xfId="7" applyNumberFormat="1" applyFont="1" applyBorder="1" applyAlignment="1" applyProtection="1">
      <alignment horizontal="left"/>
      <protection locked="0"/>
    </xf>
    <xf numFmtId="0" fontId="27" fillId="0" borderId="23" xfId="7" applyFont="1" applyBorder="1" applyAlignment="1" applyProtection="1">
      <alignment horizontal="right" wrapText="1"/>
      <protection locked="0"/>
    </xf>
    <xf numFmtId="174" fontId="19" fillId="0" borderId="37" xfId="5" applyNumberFormat="1" applyFont="1" applyFill="1" applyBorder="1" applyAlignment="1" applyProtection="1">
      <protection locked="0"/>
    </xf>
    <xf numFmtId="174" fontId="19" fillId="0" borderId="34" xfId="5" applyNumberFormat="1" applyFont="1" applyFill="1" applyBorder="1" applyAlignment="1" applyProtection="1">
      <protection locked="0"/>
    </xf>
    <xf numFmtId="174" fontId="19" fillId="0" borderId="23" xfId="5" applyNumberFormat="1" applyFont="1" applyFill="1" applyBorder="1" applyAlignment="1" applyProtection="1">
      <protection locked="0"/>
    </xf>
    <xf numFmtId="174" fontId="28" fillId="21" borderId="0" xfId="5" applyNumberFormat="1" applyFont="1" applyFill="1" applyBorder="1" applyAlignment="1" applyProtection="1">
      <protection locked="0"/>
    </xf>
    <xf numFmtId="174" fontId="28" fillId="21" borderId="11" xfId="5" applyNumberFormat="1" applyFont="1" applyFill="1" applyBorder="1" applyAlignment="1" applyProtection="1"/>
    <xf numFmtId="0" fontId="27" fillId="0" borderId="62" xfId="7" applyFont="1" applyBorder="1" applyAlignment="1" applyProtection="1">
      <alignment horizontal="center" vertical="center" wrapText="1"/>
      <protection locked="0"/>
    </xf>
    <xf numFmtId="0" fontId="27" fillId="0" borderId="39" xfId="7" quotePrefix="1" applyFont="1" applyBorder="1" applyAlignment="1" applyProtection="1">
      <alignment horizontal="center" wrapText="1"/>
      <protection locked="0"/>
    </xf>
    <xf numFmtId="168" fontId="27" fillId="0" borderId="39" xfId="7" applyNumberFormat="1" applyFont="1" applyBorder="1" applyProtection="1">
      <protection locked="0"/>
    </xf>
    <xf numFmtId="168" fontId="27" fillId="0" borderId="39" xfId="7" applyNumberFormat="1" applyFont="1" applyBorder="1" applyAlignment="1" applyProtection="1">
      <alignment horizontal="left" wrapText="1"/>
      <protection locked="0"/>
    </xf>
    <xf numFmtId="0" fontId="27" fillId="0" borderId="22" xfId="7" applyFont="1" applyBorder="1" applyAlignment="1" applyProtection="1">
      <alignment horizontal="right" wrapText="1"/>
      <protection locked="0"/>
    </xf>
    <xf numFmtId="169" fontId="19" fillId="0" borderId="62" xfId="3" applyNumberFormat="1" applyFont="1" applyFill="1" applyBorder="1" applyAlignment="1" applyProtection="1">
      <protection locked="0"/>
    </xf>
    <xf numFmtId="169" fontId="19" fillId="0" borderId="39" xfId="3" applyNumberFormat="1" applyFont="1" applyFill="1" applyBorder="1" applyAlignment="1" applyProtection="1">
      <protection locked="0"/>
    </xf>
    <xf numFmtId="169" fontId="19" fillId="0" borderId="22" xfId="3" applyNumberFormat="1" applyFont="1" applyFill="1" applyBorder="1" applyAlignment="1" applyProtection="1">
      <protection locked="0"/>
    </xf>
    <xf numFmtId="169" fontId="29" fillId="21" borderId="6" xfId="3" applyNumberFormat="1" applyFont="1" applyFill="1" applyBorder="1" applyAlignment="1" applyProtection="1">
      <protection locked="0"/>
    </xf>
    <xf numFmtId="169" fontId="19" fillId="0" borderId="105" xfId="3" applyNumberFormat="1" applyFont="1" applyFill="1" applyBorder="1" applyAlignment="1" applyProtection="1">
      <protection locked="0"/>
    </xf>
    <xf numFmtId="169" fontId="19" fillId="0" borderId="21" xfId="3" applyNumberFormat="1" applyFont="1" applyFill="1" applyBorder="1" applyAlignment="1" applyProtection="1">
      <protection locked="0"/>
    </xf>
    <xf numFmtId="169" fontId="19" fillId="21" borderId="6" xfId="3" applyNumberFormat="1" applyFont="1" applyFill="1" applyBorder="1" applyAlignment="1" applyProtection="1">
      <protection locked="0"/>
    </xf>
    <xf numFmtId="168" fontId="28" fillId="0" borderId="57" xfId="7" applyNumberFormat="1" applyFont="1" applyBorder="1" applyAlignment="1" applyProtection="1">
      <alignment horizontal="center" wrapText="1"/>
      <protection locked="0"/>
    </xf>
    <xf numFmtId="168" fontId="28" fillId="0" borderId="61" xfId="7" applyNumberFormat="1" applyFont="1" applyBorder="1" applyAlignment="1" applyProtection="1">
      <alignment horizontal="center" wrapText="1"/>
      <protection locked="0"/>
    </xf>
    <xf numFmtId="174" fontId="27" fillId="21" borderId="57" xfId="18" applyNumberFormat="1" applyFont="1" applyFill="1" applyBorder="1" applyAlignment="1" applyProtection="1"/>
    <xf numFmtId="174" fontId="27" fillId="21" borderId="61" xfId="18" applyNumberFormat="1" applyFont="1" applyFill="1" applyBorder="1" applyAlignment="1" applyProtection="1"/>
    <xf numFmtId="174" fontId="27" fillId="21" borderId="72" xfId="18" applyNumberFormat="1" applyFont="1" applyFill="1" applyBorder="1" applyAlignment="1" applyProtection="1"/>
    <xf numFmtId="174" fontId="28" fillId="21" borderId="71" xfId="18" applyNumberFormat="1" applyFont="1" applyFill="1" applyBorder="1" applyAlignment="1" applyProtection="1"/>
    <xf numFmtId="174" fontId="27" fillId="21" borderId="32" xfId="18" applyNumberFormat="1" applyFont="1" applyFill="1" applyBorder="1" applyAlignment="1" applyProtection="1"/>
    <xf numFmtId="174" fontId="27" fillId="21" borderId="31" xfId="18" applyNumberFormat="1" applyFont="1" applyFill="1" applyBorder="1" applyAlignment="1" applyProtection="1"/>
    <xf numFmtId="168" fontId="28" fillId="0" borderId="38" xfId="7" applyNumberFormat="1" applyFont="1" applyBorder="1" applyAlignment="1" applyProtection="1">
      <alignment horizontal="center" wrapText="1"/>
      <protection locked="0"/>
    </xf>
    <xf numFmtId="168" fontId="28" fillId="0" borderId="10" xfId="7" applyNumberFormat="1" applyFont="1" applyBorder="1" applyAlignment="1" applyProtection="1">
      <alignment horizontal="center" wrapText="1"/>
      <protection locked="0"/>
    </xf>
    <xf numFmtId="174" fontId="27" fillId="21" borderId="38" xfId="18" applyNumberFormat="1" applyFont="1" applyFill="1" applyBorder="1" applyAlignment="1" applyProtection="1"/>
    <xf numFmtId="174" fontId="27" fillId="21" borderId="10" xfId="18" applyNumberFormat="1" applyFont="1" applyFill="1" applyBorder="1" applyAlignment="1" applyProtection="1"/>
    <xf numFmtId="174" fontId="27" fillId="21" borderId="67" xfId="18" applyNumberFormat="1" applyFont="1" applyFill="1" applyBorder="1" applyAlignment="1" applyProtection="1"/>
    <xf numFmtId="168" fontId="28" fillId="0" borderId="59" xfId="7" applyNumberFormat="1" applyFont="1" applyBorder="1" applyAlignment="1" applyProtection="1">
      <alignment horizontal="center" wrapText="1"/>
      <protection locked="0"/>
    </xf>
    <xf numFmtId="168" fontId="28" fillId="0" borderId="77" xfId="7" applyNumberFormat="1" applyFont="1" applyBorder="1" applyAlignment="1" applyProtection="1">
      <alignment horizontal="center" wrapText="1"/>
      <protection locked="0"/>
    </xf>
    <xf numFmtId="174" fontId="27" fillId="21" borderId="59" xfId="18" applyNumberFormat="1" applyFont="1" applyFill="1" applyBorder="1" applyAlignment="1" applyProtection="1"/>
    <xf numFmtId="174" fontId="27" fillId="21" borderId="77" xfId="18" applyNumberFormat="1" applyFont="1" applyFill="1" applyBorder="1" applyAlignment="1" applyProtection="1"/>
    <xf numFmtId="174" fontId="27" fillId="21" borderId="50" xfId="18" applyNumberFormat="1" applyFont="1" applyFill="1" applyBorder="1" applyAlignment="1" applyProtection="1"/>
    <xf numFmtId="168" fontId="28" fillId="0" borderId="97" xfId="7" applyNumberFormat="1" applyFont="1" applyBorder="1" applyAlignment="1" applyProtection="1">
      <alignment horizontal="center" wrapText="1"/>
      <protection locked="0"/>
    </xf>
    <xf numFmtId="168" fontId="28" fillId="0" borderId="28" xfId="7" applyNumberFormat="1" applyFont="1" applyBorder="1" applyAlignment="1" applyProtection="1">
      <alignment horizontal="center" wrapText="1"/>
      <protection locked="0"/>
    </xf>
    <xf numFmtId="174" fontId="27" fillId="21" borderId="97" xfId="18" applyNumberFormat="1" applyFont="1" applyFill="1" applyBorder="1" applyAlignment="1" applyProtection="1"/>
    <xf numFmtId="174" fontId="27" fillId="21" borderId="28" xfId="18" applyNumberFormat="1" applyFont="1" applyFill="1" applyBorder="1" applyAlignment="1" applyProtection="1"/>
    <xf numFmtId="174" fontId="27" fillId="21" borderId="66" xfId="18" applyNumberFormat="1" applyFont="1" applyFill="1" applyBorder="1" applyAlignment="1" applyProtection="1"/>
    <xf numFmtId="174" fontId="28" fillId="21" borderId="98" xfId="18" applyNumberFormat="1" applyFont="1" applyFill="1" applyBorder="1" applyAlignment="1" applyProtection="1"/>
    <xf numFmtId="174" fontId="27" fillId="21" borderId="26" xfId="18" applyNumberFormat="1" applyFont="1" applyFill="1" applyBorder="1" applyAlignment="1" applyProtection="1"/>
    <xf numFmtId="174" fontId="27" fillId="21" borderId="25" xfId="18" applyNumberFormat="1" applyFont="1" applyFill="1" applyBorder="1" applyAlignment="1" applyProtection="1"/>
    <xf numFmtId="168" fontId="28" fillId="0" borderId="61" xfId="7" applyNumberFormat="1" applyFont="1" applyBorder="1" applyAlignment="1" applyProtection="1">
      <alignment horizontal="left"/>
      <protection locked="0"/>
    </xf>
    <xf numFmtId="169" fontId="27" fillId="21" borderId="57" xfId="3" applyNumberFormat="1" applyFont="1" applyFill="1" applyBorder="1" applyAlignment="1" applyProtection="1"/>
    <xf numFmtId="169" fontId="27" fillId="21" borderId="61" xfId="3" applyNumberFormat="1" applyFont="1" applyFill="1" applyBorder="1" applyAlignment="1" applyProtection="1"/>
    <xf numFmtId="169" fontId="27" fillId="21" borderId="72" xfId="3" applyNumberFormat="1" applyFont="1" applyFill="1" applyBorder="1" applyAlignment="1" applyProtection="1"/>
    <xf numFmtId="169" fontId="28" fillId="21" borderId="71" xfId="3" applyNumberFormat="1" applyFont="1" applyFill="1" applyBorder="1" applyAlignment="1" applyProtection="1"/>
    <xf numFmtId="0" fontId="27" fillId="21" borderId="89" xfId="3" applyNumberFormat="1" applyFont="1" applyFill="1" applyBorder="1" applyAlignment="1" applyProtection="1">
      <protection locked="0"/>
    </xf>
    <xf numFmtId="0" fontId="27" fillId="21" borderId="58" xfId="3" applyNumberFormat="1" applyFont="1" applyFill="1" applyBorder="1" applyAlignment="1" applyProtection="1">
      <protection locked="0"/>
    </xf>
    <xf numFmtId="168" fontId="28" fillId="0" borderId="28" xfId="7" applyNumberFormat="1" applyFont="1" applyBorder="1" applyAlignment="1" applyProtection="1">
      <alignment horizontal="left"/>
      <protection locked="0"/>
    </xf>
    <xf numFmtId="169" fontId="27" fillId="21" borderId="97" xfId="3" applyNumberFormat="1" applyFont="1" applyFill="1" applyBorder="1" applyAlignment="1" applyProtection="1"/>
    <xf numFmtId="169" fontId="27" fillId="21" borderId="28" xfId="3" applyNumberFormat="1" applyFont="1" applyFill="1" applyBorder="1" applyAlignment="1" applyProtection="1"/>
    <xf numFmtId="169" fontId="27" fillId="21" borderId="66" xfId="3" applyNumberFormat="1" applyFont="1" applyFill="1" applyBorder="1" applyAlignment="1" applyProtection="1"/>
    <xf numFmtId="169" fontId="28" fillId="21" borderId="98" xfId="3" applyNumberFormat="1" applyFont="1" applyFill="1" applyBorder="1" applyAlignment="1" applyProtection="1"/>
    <xf numFmtId="169" fontId="27" fillId="21" borderId="26" xfId="3" applyNumberFormat="1" applyFont="1" applyFill="1" applyBorder="1" applyAlignment="1" applyProtection="1">
      <protection locked="0"/>
    </xf>
    <xf numFmtId="169" fontId="27" fillId="21" borderId="25" xfId="3" applyNumberFormat="1" applyFont="1" applyFill="1" applyBorder="1" applyAlignment="1" applyProtection="1">
      <protection locked="0"/>
    </xf>
    <xf numFmtId="0" fontId="27" fillId="0" borderId="36" xfId="7" applyFont="1" applyBorder="1" applyAlignment="1" applyProtection="1">
      <alignment horizontal="center"/>
      <protection locked="0"/>
    </xf>
    <xf numFmtId="0" fontId="27" fillId="0" borderId="33" xfId="7" applyFont="1" applyBorder="1" applyProtection="1">
      <protection locked="0"/>
    </xf>
    <xf numFmtId="0" fontId="27" fillId="0" borderId="108" xfId="7" applyFont="1" applyBorder="1" applyAlignment="1" applyProtection="1">
      <alignment horizontal="center"/>
      <protection locked="0"/>
    </xf>
    <xf numFmtId="0" fontId="27" fillId="0" borderId="38" xfId="7" applyFont="1" applyBorder="1" applyAlignment="1" applyProtection="1">
      <alignment horizontal="center"/>
      <protection locked="0"/>
    </xf>
    <xf numFmtId="0" fontId="27" fillId="0" borderId="67" xfId="7" applyFont="1" applyBorder="1" applyAlignment="1" applyProtection="1">
      <alignment horizontal="center"/>
      <protection locked="0"/>
    </xf>
    <xf numFmtId="0" fontId="27" fillId="0" borderId="59" xfId="7" applyFont="1" applyBorder="1" applyAlignment="1" applyProtection="1">
      <alignment horizontal="center"/>
      <protection locked="0"/>
    </xf>
    <xf numFmtId="0" fontId="27" fillId="0" borderId="77" xfId="7" applyFont="1" applyBorder="1" applyProtection="1">
      <protection locked="0"/>
    </xf>
    <xf numFmtId="0" fontId="27" fillId="0" borderId="50" xfId="7" applyFont="1" applyBorder="1" applyAlignment="1" applyProtection="1">
      <alignment horizontal="center"/>
      <protection locked="0"/>
    </xf>
    <xf numFmtId="0" fontId="28" fillId="0" borderId="0" xfId="7" applyFont="1" applyAlignment="1" applyProtection="1">
      <alignment horizontal="right" vertical="top"/>
      <protection locked="0"/>
    </xf>
    <xf numFmtId="0" fontId="29" fillId="0" borderId="0" xfId="21" applyFont="1" applyProtection="1">
      <protection locked="0"/>
    </xf>
    <xf numFmtId="0" fontId="28" fillId="0" borderId="0" xfId="55" applyFont="1" applyAlignment="1" applyProtection="1">
      <alignment horizontal="left"/>
      <protection locked="0"/>
    </xf>
    <xf numFmtId="0" fontId="31" fillId="0" borderId="0" xfId="55" applyFont="1"/>
    <xf numFmtId="0" fontId="40" fillId="0" borderId="0" xfId="55" applyFont="1"/>
    <xf numFmtId="0" fontId="28" fillId="0" borderId="0" xfId="55" applyFont="1" applyAlignment="1">
      <alignment horizontal="center"/>
    </xf>
    <xf numFmtId="49" fontId="41" fillId="0" borderId="0" xfId="55" applyNumberFormat="1" applyFont="1" applyAlignment="1">
      <alignment wrapText="1"/>
    </xf>
    <xf numFmtId="0" fontId="28" fillId="0" borderId="0" xfId="55" applyFont="1"/>
    <xf numFmtId="49" fontId="31" fillId="0" borderId="15" xfId="55" applyNumberFormat="1" applyFont="1" applyBorder="1" applyAlignment="1">
      <alignment horizontal="left" indent="1"/>
    </xf>
    <xf numFmtId="174" fontId="19" fillId="0" borderId="4" xfId="42" applyNumberFormat="1" applyFont="1" applyBorder="1"/>
    <xf numFmtId="174" fontId="27" fillId="21" borderId="13" xfId="11" applyNumberFormat="1" applyFont="1" applyFill="1" applyBorder="1" applyAlignment="1">
      <alignment horizontal="right"/>
    </xf>
    <xf numFmtId="49" fontId="31" fillId="0" borderId="5" xfId="55" applyNumberFormat="1" applyFont="1" applyBorder="1" applyAlignment="1">
      <alignment horizontal="left" indent="1"/>
    </xf>
    <xf numFmtId="174" fontId="19" fillId="0" borderId="0" xfId="42" applyNumberFormat="1" applyFont="1" applyBorder="1"/>
    <xf numFmtId="174" fontId="27" fillId="21" borderId="11" xfId="11" applyNumberFormat="1" applyFont="1" applyFill="1" applyBorder="1" applyAlignment="1">
      <alignment horizontal="right"/>
    </xf>
    <xf numFmtId="49" fontId="28" fillId="2" borderId="46" xfId="55" applyNumberFormat="1" applyFont="1" applyFill="1" applyBorder="1" applyAlignment="1">
      <alignment horizontal="left"/>
    </xf>
    <xf numFmtId="174" fontId="28" fillId="2" borderId="16" xfId="42" applyNumberFormat="1" applyFont="1" applyFill="1" applyBorder="1"/>
    <xf numFmtId="174" fontId="28" fillId="2" borderId="74" xfId="42" applyNumberFormat="1" applyFont="1" applyFill="1" applyBorder="1"/>
    <xf numFmtId="0" fontId="28" fillId="5" borderId="5" xfId="11" applyFont="1" applyFill="1" applyBorder="1" applyAlignment="1">
      <alignment horizontal="left"/>
    </xf>
    <xf numFmtId="174" fontId="19" fillId="5" borderId="0" xfId="42" applyNumberFormat="1" applyFont="1" applyFill="1" applyBorder="1"/>
    <xf numFmtId="174" fontId="27" fillId="21" borderId="11" xfId="42" applyNumberFormat="1" applyFont="1" applyFill="1" applyBorder="1"/>
    <xf numFmtId="49" fontId="31" fillId="0" borderId="15" xfId="55" applyNumberFormat="1" applyFont="1" applyBorder="1" applyAlignment="1">
      <alignment horizontal="left" indent="2"/>
    </xf>
    <xf numFmtId="174" fontId="19" fillId="0" borderId="4" xfId="0" applyNumberFormat="1" applyFont="1" applyBorder="1"/>
    <xf numFmtId="174" fontId="27" fillId="21" borderId="14" xfId="0" applyNumberFormat="1" applyFont="1" applyFill="1" applyBorder="1"/>
    <xf numFmtId="49" fontId="31" fillId="0" borderId="5" xfId="55" applyNumberFormat="1" applyFont="1" applyBorder="1" applyAlignment="1">
      <alignment horizontal="left" indent="2"/>
    </xf>
    <xf numFmtId="174" fontId="27" fillId="21" borderId="12" xfId="0" applyNumberFormat="1" applyFont="1" applyFill="1" applyBorder="1"/>
    <xf numFmtId="49" fontId="28" fillId="2" borderId="46" xfId="55" applyNumberFormat="1" applyFont="1" applyFill="1" applyBorder="1"/>
    <xf numFmtId="174" fontId="28" fillId="2" borderId="16" xfId="0" applyNumberFormat="1" applyFont="1" applyFill="1" applyBorder="1"/>
    <xf numFmtId="174" fontId="28" fillId="2" borderId="47" xfId="0" applyNumberFormat="1" applyFont="1" applyFill="1" applyBorder="1"/>
    <xf numFmtId="49" fontId="27" fillId="0" borderId="5" xfId="55" applyNumberFormat="1" applyFont="1" applyBorder="1"/>
    <xf numFmtId="38" fontId="29" fillId="0" borderId="0" xfId="0" applyNumberFormat="1" applyFont="1"/>
    <xf numFmtId="38" fontId="28" fillId="21" borderId="12" xfId="0" applyNumberFormat="1" applyFont="1" applyFill="1" applyBorder="1"/>
    <xf numFmtId="49" fontId="27" fillId="0" borderId="5" xfId="55" applyNumberFormat="1" applyFont="1" applyBorder="1" applyAlignment="1">
      <alignment horizontal="left" indent="1"/>
    </xf>
    <xf numFmtId="38" fontId="28" fillId="0" borderId="0" xfId="0" applyNumberFormat="1" applyFont="1"/>
    <xf numFmtId="49" fontId="27" fillId="0" borderId="0" xfId="55" applyNumberFormat="1" applyFont="1"/>
    <xf numFmtId="49" fontId="28" fillId="0" borderId="0" xfId="55" applyNumberFormat="1" applyFont="1"/>
    <xf numFmtId="49" fontId="31" fillId="0" borderId="15" xfId="55" applyNumberFormat="1" applyFont="1" applyBorder="1"/>
    <xf numFmtId="174" fontId="19" fillId="0" borderId="4" xfId="55" applyNumberFormat="1" applyFont="1" applyBorder="1"/>
    <xf numFmtId="174" fontId="27" fillId="21" borderId="13" xfId="55" applyNumberFormat="1" applyFont="1" applyFill="1" applyBorder="1"/>
    <xf numFmtId="0" fontId="43" fillId="2" borderId="46" xfId="55" applyFont="1" applyFill="1" applyBorder="1" applyAlignment="1">
      <alignment horizontal="left"/>
    </xf>
    <xf numFmtId="174" fontId="28" fillId="2" borderId="16" xfId="55" applyNumberFormat="1" applyFont="1" applyFill="1" applyBorder="1"/>
    <xf numFmtId="174" fontId="28" fillId="2" borderId="74" xfId="55" applyNumberFormat="1" applyFont="1" applyFill="1" applyBorder="1"/>
    <xf numFmtId="174" fontId="19" fillId="0" borderId="0" xfId="55" applyNumberFormat="1" applyFont="1" applyAlignment="1">
      <alignment horizontal="right"/>
    </xf>
    <xf numFmtId="174" fontId="27" fillId="21" borderId="11" xfId="55" applyNumberFormat="1" applyFont="1" applyFill="1" applyBorder="1" applyAlignment="1">
      <alignment horizontal="right"/>
    </xf>
    <xf numFmtId="49" fontId="44" fillId="7" borderId="5" xfId="55" applyNumberFormat="1" applyFont="1" applyFill="1" applyBorder="1" applyAlignment="1">
      <alignment horizontal="left" indent="1"/>
    </xf>
    <xf numFmtId="49" fontId="27" fillId="2" borderId="52" xfId="55" applyNumberFormat="1" applyFont="1" applyFill="1" applyBorder="1"/>
    <xf numFmtId="174" fontId="28" fillId="2" borderId="3" xfId="55" applyNumberFormat="1" applyFont="1" applyFill="1" applyBorder="1" applyAlignment="1">
      <alignment horizontal="right"/>
    </xf>
    <xf numFmtId="174" fontId="28" fillId="2" borderId="98" xfId="55" applyNumberFormat="1" applyFont="1" applyFill="1" applyBorder="1" applyAlignment="1">
      <alignment horizontal="right"/>
    </xf>
    <xf numFmtId="0" fontId="45" fillId="0" borderId="0" xfId="50" applyFont="1" applyAlignment="1">
      <alignment horizontal="center"/>
    </xf>
    <xf numFmtId="0" fontId="28" fillId="0" borderId="0" xfId="50" applyFont="1" applyAlignment="1" applyProtection="1">
      <alignment horizontal="left"/>
      <protection locked="0"/>
    </xf>
    <xf numFmtId="0" fontId="28" fillId="0" borderId="0" xfId="50" applyFont="1" applyAlignment="1" applyProtection="1">
      <alignment horizontal="right"/>
      <protection locked="0"/>
    </xf>
    <xf numFmtId="0" fontId="27" fillId="11" borderId="33" xfId="51" applyFont="1" applyBorder="1" applyAlignment="1">
      <alignment horizontal="center"/>
    </xf>
    <xf numFmtId="0" fontId="27" fillId="0" borderId="0" xfId="0" applyFont="1" applyAlignment="1">
      <alignment horizontal="left" wrapText="1"/>
    </xf>
    <xf numFmtId="0" fontId="45" fillId="0" borderId="0" xfId="0" applyFont="1"/>
    <xf numFmtId="0" fontId="46" fillId="0" borderId="0" xfId="0" applyFont="1"/>
    <xf numFmtId="164" fontId="27" fillId="5" borderId="0" xfId="2" applyNumberFormat="1" applyFont="1" applyFill="1"/>
    <xf numFmtId="0" fontId="27" fillId="5" borderId="0" xfId="0" applyFont="1" applyFill="1"/>
    <xf numFmtId="16" fontId="46" fillId="0" borderId="0" xfId="0" applyNumberFormat="1" applyFont="1"/>
    <xf numFmtId="0" fontId="27" fillId="5" borderId="104" xfId="0" applyFont="1" applyFill="1" applyBorder="1"/>
    <xf numFmtId="0" fontId="27" fillId="5" borderId="102" xfId="0" applyFont="1" applyFill="1" applyBorder="1"/>
    <xf numFmtId="0" fontId="27" fillId="5" borderId="103" xfId="0" applyFont="1" applyFill="1" applyBorder="1"/>
    <xf numFmtId="165" fontId="32" fillId="0" borderId="5" xfId="8" applyFont="1" applyBorder="1"/>
    <xf numFmtId="165" fontId="27" fillId="0" borderId="0" xfId="8" applyFont="1"/>
    <xf numFmtId="164" fontId="27" fillId="5" borderId="11" xfId="2" applyNumberFormat="1" applyFont="1" applyFill="1" applyBorder="1" applyProtection="1">
      <protection locked="0"/>
    </xf>
    <xf numFmtId="164" fontId="27" fillId="5" borderId="27" xfId="2" applyNumberFormat="1" applyFont="1" applyFill="1" applyBorder="1" applyProtection="1">
      <protection locked="0"/>
    </xf>
    <xf numFmtId="164" fontId="27" fillId="5" borderId="34" xfId="2" applyNumberFormat="1" applyFont="1" applyFill="1" applyBorder="1" applyProtection="1">
      <protection locked="0"/>
    </xf>
    <xf numFmtId="164" fontId="27" fillId="5" borderId="19" xfId="2" applyNumberFormat="1" applyFont="1" applyFill="1" applyBorder="1" applyProtection="1">
      <protection locked="0"/>
    </xf>
    <xf numFmtId="164" fontId="27" fillId="21" borderId="37" xfId="2" applyNumberFormat="1" applyFont="1" applyFill="1" applyBorder="1" applyProtection="1">
      <protection locked="0"/>
    </xf>
    <xf numFmtId="164" fontId="27" fillId="21" borderId="12" xfId="2" applyNumberFormat="1" applyFont="1" applyFill="1" applyBorder="1" applyProtection="1">
      <protection locked="0"/>
    </xf>
    <xf numFmtId="164" fontId="27" fillId="5" borderId="0" xfId="2" applyNumberFormat="1" applyFont="1" applyFill="1" applyBorder="1" applyProtection="1">
      <protection locked="0"/>
    </xf>
    <xf numFmtId="164" fontId="27" fillId="21" borderId="11" xfId="2" applyNumberFormat="1" applyFont="1" applyFill="1" applyBorder="1" applyProtection="1">
      <protection locked="0"/>
    </xf>
    <xf numFmtId="174" fontId="28" fillId="21" borderId="13" xfId="2" applyNumberFormat="1" applyFont="1" applyFill="1" applyBorder="1" applyProtection="1">
      <protection locked="0"/>
    </xf>
    <xf numFmtId="165" fontId="27" fillId="5" borderId="0" xfId="8" applyFont="1" applyFill="1" applyProtection="1">
      <protection locked="0"/>
    </xf>
    <xf numFmtId="165" fontId="27" fillId="0" borderId="5" xfId="8" applyFont="1" applyBorder="1" applyAlignment="1">
      <alignment horizontal="center"/>
    </xf>
    <xf numFmtId="165" fontId="33" fillId="0" borderId="0" xfId="8" applyFont="1"/>
    <xf numFmtId="38" fontId="19" fillId="0" borderId="11" xfId="1" applyNumberFormat="1" applyFont="1" applyFill="1" applyBorder="1" applyAlignment="1" applyProtection="1">
      <alignment horizontal="right"/>
      <protection locked="0"/>
    </xf>
    <xf numFmtId="38" fontId="19" fillId="0" borderId="0" xfId="1" applyNumberFormat="1" applyFont="1" applyFill="1" applyBorder="1" applyAlignment="1" applyProtection="1">
      <alignment horizontal="right"/>
      <protection locked="0"/>
    </xf>
    <xf numFmtId="38" fontId="19" fillId="0" borderId="19" xfId="1" applyNumberFormat="1" applyFont="1" applyFill="1" applyBorder="1" applyAlignment="1" applyProtection="1">
      <alignment horizontal="right"/>
      <protection locked="0"/>
    </xf>
    <xf numFmtId="38" fontId="27" fillId="21" borderId="37" xfId="2" applyNumberFormat="1" applyFont="1" applyFill="1" applyBorder="1" applyProtection="1"/>
    <xf numFmtId="38" fontId="27" fillId="21" borderId="12" xfId="2" applyNumberFormat="1" applyFont="1" applyFill="1" applyBorder="1" applyProtection="1"/>
    <xf numFmtId="38" fontId="19" fillId="5" borderId="0" xfId="2" applyNumberFormat="1" applyFont="1" applyFill="1" applyBorder="1" applyProtection="1">
      <protection locked="0"/>
    </xf>
    <xf numFmtId="38" fontId="27" fillId="21" borderId="11" xfId="2" applyNumberFormat="1" applyFont="1" applyFill="1" applyBorder="1" applyProtection="1"/>
    <xf numFmtId="174" fontId="28" fillId="21" borderId="11" xfId="2" applyNumberFormat="1" applyFont="1" applyFill="1" applyBorder="1" applyProtection="1"/>
    <xf numFmtId="165" fontId="28" fillId="6" borderId="2" xfId="8" applyFont="1" applyFill="1" applyBorder="1" applyAlignment="1">
      <alignment horizontal="center"/>
    </xf>
    <xf numFmtId="165" fontId="32" fillId="6" borderId="18" xfId="8" quotePrefix="1" applyFont="1" applyFill="1" applyBorder="1" applyAlignment="1">
      <alignment horizontal="left"/>
    </xf>
    <xf numFmtId="38" fontId="28" fillId="6" borderId="17" xfId="1" applyNumberFormat="1" applyFont="1" applyFill="1" applyBorder="1" applyAlignment="1" applyProtection="1">
      <alignment horizontal="right"/>
    </xf>
    <xf numFmtId="38" fontId="28" fillId="6" borderId="64" xfId="1" applyNumberFormat="1" applyFont="1" applyFill="1" applyBorder="1" applyAlignment="1" applyProtection="1">
      <alignment horizontal="right"/>
    </xf>
    <xf numFmtId="38" fontId="28" fillId="6" borderId="63" xfId="1" applyNumberFormat="1" applyFont="1" applyFill="1" applyBorder="1" applyAlignment="1" applyProtection="1">
      <alignment horizontal="right"/>
    </xf>
    <xf numFmtId="38" fontId="28" fillId="6" borderId="60" xfId="1" applyNumberFormat="1" applyFont="1" applyFill="1" applyBorder="1" applyAlignment="1" applyProtection="1">
      <alignment horizontal="right"/>
    </xf>
    <xf numFmtId="38" fontId="28" fillId="6" borderId="24" xfId="2" applyNumberFormat="1" applyFont="1" applyFill="1" applyBorder="1" applyProtection="1"/>
    <xf numFmtId="38" fontId="28" fillId="6" borderId="1" xfId="2" applyNumberFormat="1" applyFont="1" applyFill="1" applyBorder="1" applyProtection="1"/>
    <xf numFmtId="38" fontId="28" fillId="6" borderId="18" xfId="2" applyNumberFormat="1" applyFont="1" applyFill="1" applyBorder="1" applyProtection="1"/>
    <xf numFmtId="38" fontId="28" fillId="6" borderId="17" xfId="2" applyNumberFormat="1" applyFont="1" applyFill="1" applyBorder="1" applyProtection="1"/>
    <xf numFmtId="174" fontId="28" fillId="6" borderId="64" xfId="2" applyNumberFormat="1" applyFont="1" applyFill="1" applyBorder="1" applyProtection="1"/>
    <xf numFmtId="174" fontId="28" fillId="6" borderId="18" xfId="2" applyNumberFormat="1" applyFont="1" applyFill="1" applyBorder="1" applyProtection="1"/>
    <xf numFmtId="174" fontId="28" fillId="6" borderId="17" xfId="2" applyNumberFormat="1" applyFont="1" applyFill="1" applyBorder="1" applyProtection="1"/>
    <xf numFmtId="38" fontId="27" fillId="21" borderId="37" xfId="2" applyNumberFormat="1" applyFont="1" applyFill="1" applyBorder="1" applyProtection="1">
      <protection locked="0"/>
    </xf>
    <xf numFmtId="38" fontId="27" fillId="21" borderId="12" xfId="2" applyNumberFormat="1" applyFont="1" applyFill="1" applyBorder="1" applyProtection="1">
      <protection locked="0"/>
    </xf>
    <xf numFmtId="38" fontId="27" fillId="5" borderId="0" xfId="2" applyNumberFormat="1" applyFont="1" applyFill="1" applyBorder="1" applyProtection="1">
      <protection locked="0"/>
    </xf>
    <xf numFmtId="38" fontId="27" fillId="21" borderId="11" xfId="2" applyNumberFormat="1" applyFont="1" applyFill="1" applyBorder="1" applyProtection="1">
      <protection locked="0"/>
    </xf>
    <xf numFmtId="165" fontId="33" fillId="0" borderId="0" xfId="8" applyFont="1" applyAlignment="1">
      <alignment horizontal="left"/>
    </xf>
    <xf numFmtId="38" fontId="27" fillId="0" borderId="11" xfId="1" applyNumberFormat="1" applyFont="1" applyFill="1" applyBorder="1" applyAlignment="1" applyProtection="1">
      <alignment horizontal="right"/>
      <protection locked="0"/>
    </xf>
    <xf numFmtId="38" fontId="27" fillId="0" borderId="0" xfId="1" applyNumberFormat="1" applyFont="1" applyFill="1" applyBorder="1" applyAlignment="1" applyProtection="1">
      <alignment horizontal="right"/>
      <protection locked="0"/>
    </xf>
    <xf numFmtId="38" fontId="27" fillId="0" borderId="19" xfId="1" applyNumberFormat="1" applyFont="1" applyFill="1" applyBorder="1" applyAlignment="1" applyProtection="1">
      <alignment horizontal="right"/>
      <protection locked="0"/>
    </xf>
    <xf numFmtId="164" fontId="30" fillId="5" borderId="27" xfId="2" applyNumberFormat="1" applyFont="1" applyFill="1" applyBorder="1" applyAlignment="1">
      <alignment horizontal="center"/>
    </xf>
    <xf numFmtId="164" fontId="30" fillId="5" borderId="0" xfId="2" applyNumberFormat="1" applyFont="1" applyFill="1" applyBorder="1" applyAlignment="1">
      <alignment horizontal="center"/>
    </xf>
    <xf numFmtId="165" fontId="33" fillId="0" borderId="5" xfId="8" quotePrefix="1" applyFont="1" applyBorder="1" applyAlignment="1">
      <alignment horizontal="center"/>
    </xf>
    <xf numFmtId="165" fontId="33" fillId="0" borderId="5" xfId="8" applyFont="1" applyBorder="1" applyAlignment="1">
      <alignment horizontal="center"/>
    </xf>
    <xf numFmtId="174" fontId="28" fillId="21" borderId="11" xfId="2" applyNumberFormat="1" applyFont="1" applyFill="1" applyBorder="1" applyProtection="1">
      <protection locked="0"/>
    </xf>
    <xf numFmtId="38" fontId="27" fillId="0" borderId="0" xfId="2" applyNumberFormat="1" applyFont="1" applyFill="1" applyBorder="1" applyProtection="1">
      <protection locked="0"/>
    </xf>
    <xf numFmtId="164" fontId="27" fillId="0" borderId="27" xfId="2" applyNumberFormat="1" applyFont="1" applyFill="1" applyBorder="1" applyProtection="1">
      <protection locked="0"/>
    </xf>
    <xf numFmtId="164" fontId="27" fillId="0" borderId="0" xfId="2" applyNumberFormat="1" applyFont="1" applyFill="1" applyBorder="1" applyProtection="1">
      <protection locked="0"/>
    </xf>
    <xf numFmtId="165" fontId="33" fillId="0" borderId="12" xfId="8" applyFont="1" applyBorder="1"/>
    <xf numFmtId="165" fontId="28" fillId="2" borderId="5" xfId="8" applyFont="1" applyFill="1" applyBorder="1" applyAlignment="1">
      <alignment horizontal="center"/>
    </xf>
    <xf numFmtId="165" fontId="32" fillId="2" borderId="12" xfId="8" applyFont="1" applyFill="1" applyBorder="1"/>
    <xf numFmtId="38" fontId="27" fillId="2" borderId="11" xfId="1" applyNumberFormat="1" applyFont="1" applyFill="1" applyBorder="1" applyAlignment="1" applyProtection="1">
      <alignment horizontal="right"/>
      <protection locked="0"/>
    </xf>
    <xf numFmtId="38" fontId="27" fillId="2" borderId="11" xfId="2" applyNumberFormat="1" applyFont="1" applyFill="1" applyBorder="1" applyProtection="1"/>
    <xf numFmtId="174" fontId="28" fillId="2" borderId="11" xfId="2" applyNumberFormat="1" applyFont="1" applyFill="1" applyBorder="1" applyProtection="1"/>
    <xf numFmtId="38" fontId="28" fillId="6" borderId="17" xfId="1" applyNumberFormat="1" applyFont="1" applyFill="1" applyBorder="1" applyAlignment="1">
      <alignment horizontal="right"/>
    </xf>
    <xf numFmtId="165" fontId="28" fillId="0" borderId="5" xfId="8" applyFont="1" applyBorder="1"/>
    <xf numFmtId="165" fontId="27" fillId="0" borderId="5" xfId="8" applyFont="1" applyBorder="1"/>
    <xf numFmtId="164" fontId="32" fillId="6" borderId="18" xfId="2" applyNumberFormat="1" applyFont="1" applyFill="1" applyBorder="1" applyAlignment="1" applyProtection="1">
      <alignment horizontal="left"/>
    </xf>
    <xf numFmtId="38" fontId="28" fillId="6" borderId="24" xfId="1" applyNumberFormat="1" applyFont="1" applyFill="1" applyBorder="1" applyAlignment="1" applyProtection="1">
      <alignment horizontal="right"/>
    </xf>
    <xf numFmtId="38" fontId="28" fillId="6" borderId="18" xfId="1" applyNumberFormat="1" applyFont="1" applyFill="1" applyBorder="1" applyAlignment="1" applyProtection="1">
      <alignment horizontal="right"/>
    </xf>
    <xf numFmtId="0" fontId="27" fillId="0" borderId="15" xfId="0" applyFont="1" applyBorder="1"/>
    <xf numFmtId="0" fontId="27" fillId="0" borderId="13" xfId="0" applyFont="1" applyBorder="1"/>
    <xf numFmtId="0" fontId="27" fillId="0" borderId="107" xfId="0" applyFont="1" applyBorder="1"/>
    <xf numFmtId="0" fontId="27" fillId="21" borderId="65" xfId="0" applyFont="1" applyFill="1" applyBorder="1"/>
    <xf numFmtId="0" fontId="27" fillId="21" borderId="14" xfId="0" applyFont="1" applyFill="1" applyBorder="1"/>
    <xf numFmtId="0" fontId="27" fillId="21" borderId="13" xfId="0" applyFont="1" applyFill="1" applyBorder="1"/>
    <xf numFmtId="0" fontId="27" fillId="0" borderId="27" xfId="0" applyFont="1" applyBorder="1"/>
    <xf numFmtId="174" fontId="28" fillId="21" borderId="11" xfId="0" applyNumberFormat="1" applyFont="1" applyFill="1" applyBorder="1"/>
    <xf numFmtId="0" fontId="28" fillId="2" borderId="5" xfId="1" applyNumberFormat="1" applyFont="1" applyFill="1" applyBorder="1" applyAlignment="1">
      <alignment horizontal="center"/>
    </xf>
    <xf numFmtId="164" fontId="32" fillId="2" borderId="12" xfId="2" applyNumberFormat="1" applyFont="1" applyFill="1" applyBorder="1" applyAlignment="1" applyProtection="1">
      <alignment horizontal="left"/>
    </xf>
    <xf numFmtId="38" fontId="27" fillId="2" borderId="11" xfId="1" applyNumberFormat="1" applyFont="1" applyFill="1" applyBorder="1" applyAlignment="1" applyProtection="1">
      <alignment horizontal="right"/>
    </xf>
    <xf numFmtId="38" fontId="27" fillId="2" borderId="37" xfId="1" applyNumberFormat="1" applyFont="1" applyFill="1" applyBorder="1" applyAlignment="1" applyProtection="1">
      <alignment horizontal="right"/>
    </xf>
    <xf numFmtId="38" fontId="27" fillId="2" borderId="27" xfId="1" applyNumberFormat="1" applyFont="1" applyFill="1" applyBorder="1" applyAlignment="1" applyProtection="1">
      <alignment horizontal="right"/>
    </xf>
    <xf numFmtId="38" fontId="27" fillId="2" borderId="0" xfId="1" applyNumberFormat="1" applyFont="1" applyFill="1" applyBorder="1" applyAlignment="1" applyProtection="1">
      <alignment horizontal="right"/>
    </xf>
    <xf numFmtId="38" fontId="27" fillId="2" borderId="12" xfId="2" applyNumberFormat="1" applyFont="1" applyFill="1" applyBorder="1" applyProtection="1"/>
    <xf numFmtId="174" fontId="27" fillId="2" borderId="27" xfId="1" applyNumberFormat="1" applyFont="1" applyFill="1" applyBorder="1" applyAlignment="1" applyProtection="1">
      <alignment horizontal="right"/>
    </xf>
    <xf numFmtId="174" fontId="27" fillId="2" borderId="0" xfId="1" applyNumberFormat="1" applyFont="1" applyFill="1" applyBorder="1" applyAlignment="1" applyProtection="1">
      <alignment horizontal="right"/>
    </xf>
    <xf numFmtId="174" fontId="27" fillId="2" borderId="11" xfId="1" applyNumberFormat="1" applyFont="1" applyFill="1" applyBorder="1" applyAlignment="1" applyProtection="1">
      <alignment horizontal="right"/>
    </xf>
    <xf numFmtId="0" fontId="28" fillId="0" borderId="5" xfId="1" applyNumberFormat="1" applyFont="1" applyFill="1" applyBorder="1" applyAlignment="1">
      <alignment horizontal="center"/>
    </xf>
    <xf numFmtId="164" fontId="33" fillId="0" borderId="12" xfId="2" applyNumberFormat="1" applyFont="1" applyFill="1" applyBorder="1" applyAlignment="1" applyProtection="1">
      <alignment horizontal="left"/>
    </xf>
    <xf numFmtId="38" fontId="27" fillId="0" borderId="11" xfId="1" applyNumberFormat="1" applyFont="1" applyFill="1" applyBorder="1" applyAlignment="1" applyProtection="1">
      <alignment horizontal="right"/>
    </xf>
    <xf numFmtId="38" fontId="27" fillId="0" borderId="27" xfId="1" applyNumberFormat="1" applyFont="1" applyFill="1" applyBorder="1" applyAlignment="1" applyProtection="1">
      <alignment horizontal="right"/>
    </xf>
    <xf numFmtId="38" fontId="27" fillId="0" borderId="0" xfId="1" applyNumberFormat="1" applyFont="1" applyFill="1" applyBorder="1" applyAlignment="1" applyProtection="1">
      <alignment horizontal="right"/>
    </xf>
    <xf numFmtId="38" fontId="27" fillId="0" borderId="19" xfId="1" applyNumberFormat="1" applyFont="1" applyFill="1" applyBorder="1" applyAlignment="1" applyProtection="1">
      <alignment horizontal="right"/>
    </xf>
    <xf numFmtId="38" fontId="27" fillId="5" borderId="11" xfId="2" applyNumberFormat="1" applyFont="1" applyFill="1" applyBorder="1" applyProtection="1"/>
    <xf numFmtId="38" fontId="19" fillId="0" borderId="27" xfId="1" applyNumberFormat="1" applyFont="1" applyFill="1" applyBorder="1" applyAlignment="1" applyProtection="1">
      <alignment horizontal="right"/>
      <protection locked="0"/>
    </xf>
    <xf numFmtId="164" fontId="32" fillId="2" borderId="12" xfId="2" applyNumberFormat="1" applyFont="1" applyFill="1" applyBorder="1" applyAlignment="1" applyProtection="1"/>
    <xf numFmtId="38" fontId="27" fillId="2" borderId="19" xfId="1" applyNumberFormat="1" applyFont="1" applyFill="1" applyBorder="1" applyAlignment="1" applyProtection="1">
      <alignment horizontal="right"/>
    </xf>
    <xf numFmtId="174" fontId="27" fillId="2" borderId="27" xfId="2" applyNumberFormat="1" applyFont="1" applyFill="1" applyBorder="1" applyProtection="1"/>
    <xf numFmtId="174" fontId="27" fillId="2" borderId="0" xfId="2" applyNumberFormat="1" applyFont="1" applyFill="1" applyBorder="1" applyProtection="1"/>
    <xf numFmtId="174" fontId="27" fillId="2" borderId="11" xfId="2" applyNumberFormat="1" applyFont="1" applyFill="1" applyBorder="1" applyProtection="1"/>
    <xf numFmtId="167" fontId="27" fillId="0" borderId="9" xfId="1" applyNumberFormat="1" applyFont="1" applyFill="1" applyBorder="1"/>
    <xf numFmtId="164" fontId="33" fillId="0" borderId="8" xfId="2" applyNumberFormat="1" applyFont="1" applyFill="1" applyBorder="1" applyAlignment="1" applyProtection="1"/>
    <xf numFmtId="38" fontId="27" fillId="0" borderId="6" xfId="1" applyNumberFormat="1" applyFont="1" applyFill="1" applyBorder="1" applyAlignment="1" applyProtection="1">
      <alignment horizontal="right"/>
      <protection locked="0"/>
    </xf>
    <xf numFmtId="38" fontId="27" fillId="0" borderId="105" xfId="1" applyNumberFormat="1" applyFont="1" applyFill="1" applyBorder="1" applyAlignment="1" applyProtection="1">
      <alignment horizontal="right"/>
      <protection locked="0"/>
    </xf>
    <xf numFmtId="38" fontId="27" fillId="21" borderId="62" xfId="2" applyNumberFormat="1" applyFont="1" applyFill="1" applyBorder="1" applyProtection="1">
      <protection locked="0"/>
    </xf>
    <xf numFmtId="38" fontId="27" fillId="21" borderId="8" xfId="2" applyNumberFormat="1" applyFont="1" applyFill="1" applyBorder="1" applyProtection="1">
      <protection locked="0"/>
    </xf>
    <xf numFmtId="38" fontId="27" fillId="0" borderId="6" xfId="2" applyNumberFormat="1" applyFont="1" applyFill="1" applyBorder="1" applyProtection="1">
      <protection locked="0"/>
    </xf>
    <xf numFmtId="38" fontId="27" fillId="21" borderId="6" xfId="2" applyNumberFormat="1" applyFont="1" applyFill="1" applyBorder="1" applyProtection="1">
      <protection locked="0"/>
    </xf>
    <xf numFmtId="0" fontId="28" fillId="6" borderId="2" xfId="1" applyNumberFormat="1" applyFont="1" applyFill="1" applyBorder="1" applyAlignment="1">
      <alignment horizontal="center"/>
    </xf>
    <xf numFmtId="38" fontId="27" fillId="6" borderId="17" xfId="1" applyNumberFormat="1" applyFont="1" applyFill="1" applyBorder="1" applyAlignment="1" applyProtection="1">
      <alignment horizontal="right"/>
    </xf>
    <xf numFmtId="38" fontId="27" fillId="6" borderId="64" xfId="1" applyNumberFormat="1" applyFont="1" applyFill="1" applyBorder="1" applyAlignment="1" applyProtection="1">
      <alignment horizontal="right"/>
    </xf>
    <xf numFmtId="38" fontId="27" fillId="6" borderId="63" xfId="1" applyNumberFormat="1" applyFont="1" applyFill="1" applyBorder="1" applyAlignment="1" applyProtection="1">
      <alignment horizontal="right"/>
    </xf>
    <xf numFmtId="38" fontId="27" fillId="6" borderId="60" xfId="1" applyNumberFormat="1" applyFont="1" applyFill="1" applyBorder="1" applyAlignment="1" applyProtection="1">
      <alignment horizontal="right"/>
    </xf>
    <xf numFmtId="38" fontId="27" fillId="6" borderId="24" xfId="1" applyNumberFormat="1" applyFont="1" applyFill="1" applyBorder="1" applyAlignment="1" applyProtection="1">
      <alignment horizontal="right"/>
    </xf>
    <xf numFmtId="38" fontId="27" fillId="6" borderId="1" xfId="2" applyNumberFormat="1" applyFont="1" applyFill="1" applyBorder="1" applyProtection="1"/>
    <xf numFmtId="38" fontId="27" fillId="6" borderId="18" xfId="1" applyNumberFormat="1" applyFont="1" applyFill="1" applyBorder="1" applyAlignment="1" applyProtection="1">
      <alignment horizontal="right"/>
    </xf>
    <xf numFmtId="38" fontId="27" fillId="6" borderId="17" xfId="2" applyNumberFormat="1" applyFont="1" applyFill="1" applyBorder="1" applyProtection="1"/>
    <xf numFmtId="164" fontId="32" fillId="0" borderId="0" xfId="2" applyNumberFormat="1" applyFont="1" applyFill="1" applyBorder="1" applyAlignment="1" applyProtection="1">
      <alignment horizontal="left"/>
    </xf>
    <xf numFmtId="38" fontId="27" fillId="21" borderId="37" xfId="1" applyNumberFormat="1" applyFont="1" applyFill="1" applyBorder="1" applyAlignment="1" applyProtection="1">
      <alignment horizontal="right"/>
      <protection locked="0"/>
    </xf>
    <xf numFmtId="38" fontId="27" fillId="0" borderId="27" xfId="1" applyNumberFormat="1" applyFont="1" applyFill="1" applyBorder="1" applyAlignment="1" applyProtection="1">
      <alignment horizontal="right"/>
      <protection locked="0"/>
    </xf>
    <xf numFmtId="164" fontId="27" fillId="5" borderId="13" xfId="2" applyNumberFormat="1" applyFont="1" applyFill="1" applyBorder="1" applyProtection="1">
      <protection locked="0"/>
    </xf>
    <xf numFmtId="164" fontId="27" fillId="5" borderId="65" xfId="2" applyNumberFormat="1" applyFont="1" applyFill="1" applyBorder="1" applyProtection="1">
      <protection locked="0"/>
    </xf>
    <xf numFmtId="164" fontId="27" fillId="5" borderId="107" xfId="2" applyNumberFormat="1" applyFont="1" applyFill="1" applyBorder="1" applyProtection="1">
      <protection locked="0"/>
    </xf>
    <xf numFmtId="164" fontId="27" fillId="5" borderId="0" xfId="2" applyNumberFormat="1" applyFont="1" applyFill="1" applyProtection="1">
      <protection locked="0"/>
    </xf>
    <xf numFmtId="164" fontId="27" fillId="21" borderId="65" xfId="2" applyNumberFormat="1" applyFont="1" applyFill="1" applyBorder="1" applyProtection="1">
      <protection locked="0"/>
    </xf>
    <xf numFmtId="164" fontId="27" fillId="21" borderId="14" xfId="2" applyNumberFormat="1" applyFont="1" applyFill="1" applyBorder="1" applyProtection="1">
      <protection locked="0"/>
    </xf>
    <xf numFmtId="164" fontId="27" fillId="21" borderId="13" xfId="2" applyNumberFormat="1" applyFont="1" applyFill="1" applyBorder="1" applyProtection="1">
      <protection locked="0"/>
    </xf>
    <xf numFmtId="174" fontId="28" fillId="21" borderId="6" xfId="2" applyNumberFormat="1" applyFont="1" applyFill="1" applyBorder="1" applyProtection="1">
      <protection locked="0"/>
    </xf>
    <xf numFmtId="165" fontId="19" fillId="0" borderId="0" xfId="8" applyFont="1"/>
    <xf numFmtId="174" fontId="28" fillId="0" borderId="0" xfId="8" applyNumberFormat="1" applyFont="1"/>
    <xf numFmtId="165" fontId="28" fillId="0" borderId="4" xfId="8" applyFont="1" applyBorder="1" applyAlignment="1">
      <alignment horizontal="left"/>
    </xf>
    <xf numFmtId="165" fontId="28" fillId="0" borderId="0" xfId="8" applyFont="1" applyAlignment="1">
      <alignment horizontal="right"/>
    </xf>
    <xf numFmtId="166" fontId="28" fillId="0" borderId="0" xfId="8" applyNumberFormat="1" applyFont="1" applyAlignment="1">
      <alignment horizontal="left"/>
    </xf>
    <xf numFmtId="165" fontId="28" fillId="0" borderId="15" xfId="8" applyFont="1" applyBorder="1"/>
    <xf numFmtId="165" fontId="27" fillId="0" borderId="14" xfId="8" applyFont="1" applyBorder="1"/>
    <xf numFmtId="164" fontId="27" fillId="0" borderId="27" xfId="2" applyNumberFormat="1" applyFont="1" applyBorder="1"/>
    <xf numFmtId="164" fontId="27" fillId="0" borderId="19" xfId="2" applyNumberFormat="1" applyFont="1" applyBorder="1"/>
    <xf numFmtId="164" fontId="27" fillId="21" borderId="11" xfId="2" applyNumberFormat="1" applyFont="1" applyFill="1" applyBorder="1"/>
    <xf numFmtId="164" fontId="27" fillId="0" borderId="0" xfId="2" applyNumberFormat="1" applyFont="1" applyBorder="1"/>
    <xf numFmtId="164" fontId="27" fillId="0" borderId="34" xfId="2" applyNumberFormat="1" applyFont="1" applyBorder="1"/>
    <xf numFmtId="174" fontId="28" fillId="21" borderId="11" xfId="2" applyNumberFormat="1" applyFont="1" applyFill="1" applyBorder="1"/>
    <xf numFmtId="38" fontId="27" fillId="21" borderId="11" xfId="2" applyNumberFormat="1" applyFont="1" applyFill="1" applyBorder="1"/>
    <xf numFmtId="38" fontId="19" fillId="0" borderId="27" xfId="2" applyNumberFormat="1" applyFont="1" applyBorder="1"/>
    <xf numFmtId="38" fontId="19" fillId="0" borderId="19" xfId="2" applyNumberFormat="1" applyFont="1" applyBorder="1"/>
    <xf numFmtId="38" fontId="19" fillId="0" borderId="0" xfId="2" applyNumberFormat="1" applyFont="1" applyBorder="1"/>
    <xf numFmtId="165" fontId="27" fillId="0" borderId="12" xfId="8" applyFont="1" applyBorder="1"/>
    <xf numFmtId="0" fontId="27" fillId="0" borderId="12" xfId="9" applyFont="1" applyBorder="1"/>
    <xf numFmtId="165" fontId="32" fillId="6" borderId="1" xfId="8" applyFont="1" applyFill="1" applyBorder="1" applyAlignment="1">
      <alignment horizontal="left"/>
    </xf>
    <xf numFmtId="38" fontId="28" fillId="6" borderId="64" xfId="2" applyNumberFormat="1" applyFont="1" applyFill="1" applyBorder="1"/>
    <xf numFmtId="38" fontId="28" fillId="6" borderId="60" xfId="2" applyNumberFormat="1" applyFont="1" applyFill="1" applyBorder="1"/>
    <xf numFmtId="38" fontId="28" fillId="6" borderId="17" xfId="2" applyNumberFormat="1" applyFont="1" applyFill="1" applyBorder="1"/>
    <xf numFmtId="38" fontId="28" fillId="6" borderId="18" xfId="2" applyNumberFormat="1" applyFont="1" applyFill="1" applyBorder="1"/>
    <xf numFmtId="38" fontId="27" fillId="0" borderId="27" xfId="2" applyNumberFormat="1" applyFont="1" applyFill="1" applyBorder="1"/>
    <xf numFmtId="38" fontId="27" fillId="0" borderId="19" xfId="2" applyNumberFormat="1" applyFont="1" applyFill="1" applyBorder="1"/>
    <xf numFmtId="38" fontId="27" fillId="0" borderId="0" xfId="2" applyNumberFormat="1" applyFont="1" applyFill="1" applyBorder="1"/>
    <xf numFmtId="38" fontId="28" fillId="21" borderId="11" xfId="2" applyNumberFormat="1" applyFont="1" applyFill="1" applyBorder="1"/>
    <xf numFmtId="38" fontId="28" fillId="2" borderId="38" xfId="2" applyNumberFormat="1" applyFont="1" applyFill="1" applyBorder="1"/>
    <xf numFmtId="38" fontId="28" fillId="2" borderId="31" xfId="2" applyNumberFormat="1" applyFont="1" applyFill="1" applyBorder="1"/>
    <xf numFmtId="38" fontId="28" fillId="2" borderId="74" xfId="2" applyNumberFormat="1" applyFont="1" applyFill="1" applyBorder="1"/>
    <xf numFmtId="38" fontId="28" fillId="2" borderId="16" xfId="2" applyNumberFormat="1" applyFont="1" applyFill="1" applyBorder="1"/>
    <xf numFmtId="165" fontId="28" fillId="6" borderId="44" xfId="8" applyFont="1" applyFill="1" applyBorder="1" applyAlignment="1">
      <alignment horizontal="center"/>
    </xf>
    <xf numFmtId="165" fontId="32" fillId="6" borderId="51" xfId="8" applyFont="1" applyFill="1" applyBorder="1" applyAlignment="1">
      <alignment horizontal="left"/>
    </xf>
    <xf numFmtId="38" fontId="28" fillId="6" borderId="89" xfId="2" applyNumberFormat="1" applyFont="1" applyFill="1" applyBorder="1"/>
    <xf numFmtId="38" fontId="28" fillId="6" borderId="58" xfId="2" applyNumberFormat="1" applyFont="1" applyFill="1" applyBorder="1"/>
    <xf numFmtId="38" fontId="28" fillId="6" borderId="71" xfId="2" applyNumberFormat="1" applyFont="1" applyFill="1" applyBorder="1"/>
    <xf numFmtId="38" fontId="28" fillId="6" borderId="45" xfId="2" applyNumberFormat="1" applyFont="1" applyFill="1" applyBorder="1"/>
    <xf numFmtId="165" fontId="28" fillId="6" borderId="9" xfId="8" applyFont="1" applyFill="1" applyBorder="1" applyAlignment="1">
      <alignment horizontal="center"/>
    </xf>
    <xf numFmtId="165" fontId="32" fillId="6" borderId="8" xfId="8" applyFont="1" applyFill="1" applyBorder="1" applyAlignment="1">
      <alignment horizontal="left"/>
    </xf>
    <xf numFmtId="38" fontId="28" fillId="6" borderId="105" xfId="2" applyNumberFormat="1" applyFont="1" applyFill="1" applyBorder="1"/>
    <xf numFmtId="38" fontId="28" fillId="6" borderId="21" xfId="2" applyNumberFormat="1" applyFont="1" applyFill="1" applyBorder="1"/>
    <xf numFmtId="38" fontId="28" fillId="6" borderId="6" xfId="2" applyNumberFormat="1" applyFont="1" applyFill="1" applyBorder="1"/>
    <xf numFmtId="38" fontId="28" fillId="6" borderId="7" xfId="2" applyNumberFormat="1" applyFont="1" applyFill="1" applyBorder="1"/>
    <xf numFmtId="0" fontId="30" fillId="0" borderId="27" xfId="0" applyFont="1" applyBorder="1" applyAlignment="1">
      <alignment horizontal="center"/>
    </xf>
    <xf numFmtId="0" fontId="30" fillId="0" borderId="34" xfId="0" applyFont="1" applyBorder="1" applyAlignment="1">
      <alignment horizontal="center"/>
    </xf>
    <xf numFmtId="0" fontId="30" fillId="0" borderId="19" xfId="0" applyFont="1" applyBorder="1" applyAlignment="1">
      <alignment horizontal="center"/>
    </xf>
    <xf numFmtId="38" fontId="27" fillId="2" borderId="38" xfId="2" applyNumberFormat="1" applyFont="1" applyFill="1" applyBorder="1"/>
    <xf numFmtId="38" fontId="27" fillId="2" borderId="31" xfId="2" applyNumberFormat="1" applyFont="1" applyFill="1" applyBorder="1"/>
    <xf numFmtId="38" fontId="27" fillId="2" borderId="74" xfId="2" applyNumberFormat="1" applyFont="1" applyFill="1" applyBorder="1"/>
    <xf numFmtId="38" fontId="27" fillId="2" borderId="16" xfId="2" applyNumberFormat="1" applyFont="1" applyFill="1" applyBorder="1"/>
    <xf numFmtId="164" fontId="27" fillId="0" borderId="27" xfId="2" applyNumberFormat="1" applyFont="1" applyFill="1" applyBorder="1"/>
    <xf numFmtId="164" fontId="27" fillId="0" borderId="34" xfId="2" applyNumberFormat="1" applyFont="1" applyFill="1" applyBorder="1"/>
    <xf numFmtId="164" fontId="27" fillId="0" borderId="19" xfId="2" applyNumberFormat="1" applyFont="1" applyFill="1" applyBorder="1"/>
    <xf numFmtId="38" fontId="27" fillId="21" borderId="13" xfId="2" applyNumberFormat="1" applyFont="1" applyFill="1" applyBorder="1"/>
    <xf numFmtId="174" fontId="28" fillId="21" borderId="13" xfId="2" applyNumberFormat="1" applyFont="1" applyFill="1" applyBorder="1"/>
    <xf numFmtId="38" fontId="27" fillId="2" borderId="38" xfId="2" applyNumberFormat="1" applyFont="1" applyFill="1" applyBorder="1" applyProtection="1"/>
    <xf numFmtId="38" fontId="27" fillId="2" borderId="31" xfId="2" applyNumberFormat="1" applyFont="1" applyFill="1" applyBorder="1" applyProtection="1"/>
    <xf numFmtId="38" fontId="27" fillId="2" borderId="74" xfId="2" applyNumberFormat="1" applyFont="1" applyFill="1" applyBorder="1" applyProtection="1"/>
    <xf numFmtId="38" fontId="27" fillId="2" borderId="16" xfId="2" applyNumberFormat="1" applyFont="1" applyFill="1" applyBorder="1" applyProtection="1"/>
    <xf numFmtId="174" fontId="28" fillId="2" borderId="32" xfId="2" applyNumberFormat="1" applyFont="1" applyFill="1" applyBorder="1" applyProtection="1"/>
    <xf numFmtId="174" fontId="28" fillId="2" borderId="10" xfId="2" applyNumberFormat="1" applyFont="1" applyFill="1" applyBorder="1" applyProtection="1"/>
    <xf numFmtId="174" fontId="28" fillId="2" borderId="31" xfId="2" applyNumberFormat="1" applyFont="1" applyFill="1" applyBorder="1" applyProtection="1"/>
    <xf numFmtId="174" fontId="28" fillId="2" borderId="74" xfId="2" applyNumberFormat="1" applyFont="1" applyFill="1" applyBorder="1" applyProtection="1"/>
    <xf numFmtId="0" fontId="33" fillId="0" borderId="5" xfId="9" applyFont="1" applyBorder="1" applyAlignment="1">
      <alignment horizontal="center"/>
    </xf>
    <xf numFmtId="0" fontId="33" fillId="0" borderId="12" xfId="9" applyFont="1" applyBorder="1" applyAlignment="1">
      <alignment horizontal="left" vertical="center"/>
    </xf>
    <xf numFmtId="174" fontId="28" fillId="6" borderId="57" xfId="2" applyNumberFormat="1" applyFont="1" applyFill="1" applyBorder="1"/>
    <xf numFmtId="174" fontId="28" fillId="6" borderId="61" xfId="2" applyNumberFormat="1" applyFont="1" applyFill="1" applyBorder="1"/>
    <xf numFmtId="174" fontId="28" fillId="6" borderId="58" xfId="2" applyNumberFormat="1" applyFont="1" applyFill="1" applyBorder="1"/>
    <xf numFmtId="174" fontId="28" fillId="6" borderId="71" xfId="2" applyNumberFormat="1" applyFont="1" applyFill="1" applyBorder="1"/>
    <xf numFmtId="174" fontId="28" fillId="6" borderId="62" xfId="2" applyNumberFormat="1" applyFont="1" applyFill="1" applyBorder="1"/>
    <xf numFmtId="174" fontId="28" fillId="6" borderId="39" xfId="2" applyNumberFormat="1" applyFont="1" applyFill="1" applyBorder="1"/>
    <xf numFmtId="174" fontId="28" fillId="6" borderId="21" xfId="2" applyNumberFormat="1" applyFont="1" applyFill="1" applyBorder="1"/>
    <xf numFmtId="174" fontId="28" fillId="6" borderId="6" xfId="2" applyNumberFormat="1" applyFont="1" applyFill="1" applyBorder="1"/>
    <xf numFmtId="0" fontId="27" fillId="0" borderId="0" xfId="0" applyFont="1" applyAlignment="1">
      <alignment wrapText="1"/>
    </xf>
    <xf numFmtId="165" fontId="28" fillId="0" borderId="0" xfId="8" applyFont="1" applyProtection="1">
      <protection locked="0"/>
    </xf>
    <xf numFmtId="165" fontId="32" fillId="0" borderId="0" xfId="8" applyFont="1" applyAlignment="1">
      <alignment horizontal="right"/>
    </xf>
    <xf numFmtId="167" fontId="27" fillId="0" borderId="0" xfId="1" applyNumberFormat="1" applyFont="1" applyFill="1" applyBorder="1"/>
    <xf numFmtId="165" fontId="32" fillId="0" borderId="15" xfId="8" applyFont="1" applyBorder="1"/>
    <xf numFmtId="1" fontId="27" fillId="0" borderId="0" xfId="1" applyNumberFormat="1" applyFont="1" applyFill="1" applyBorder="1" applyAlignment="1" applyProtection="1">
      <alignment horizontal="right"/>
      <protection locked="0"/>
    </xf>
    <xf numFmtId="1" fontId="27" fillId="0" borderId="11" xfId="1" applyNumberFormat="1" applyFont="1" applyFill="1" applyBorder="1" applyAlignment="1" applyProtection="1">
      <alignment horizontal="right"/>
      <protection locked="0"/>
    </xf>
    <xf numFmtId="1" fontId="28" fillId="21" borderId="11" xfId="1" applyNumberFormat="1" applyFont="1" applyFill="1" applyBorder="1" applyAlignment="1" applyProtection="1">
      <alignment horizontal="right"/>
      <protection locked="0"/>
    </xf>
    <xf numFmtId="37" fontId="19" fillId="0" borderId="0" xfId="1" applyNumberFormat="1" applyFont="1" applyFill="1" applyBorder="1" applyAlignment="1" applyProtection="1">
      <alignment horizontal="right"/>
      <protection locked="0"/>
    </xf>
    <xf numFmtId="37" fontId="19" fillId="0" borderId="11" xfId="1" applyNumberFormat="1" applyFont="1" applyFill="1" applyBorder="1" applyAlignment="1" applyProtection="1">
      <alignment horizontal="right"/>
      <protection locked="0"/>
    </xf>
    <xf numFmtId="37" fontId="28" fillId="21" borderId="11" xfId="1" applyNumberFormat="1" applyFont="1" applyFill="1" applyBorder="1" applyAlignment="1" applyProtection="1">
      <alignment horizontal="right"/>
    </xf>
    <xf numFmtId="165" fontId="27" fillId="0" borderId="9" xfId="8" applyFont="1" applyBorder="1" applyAlignment="1">
      <alignment horizontal="center"/>
    </xf>
    <xf numFmtId="165" fontId="33" fillId="0" borderId="8" xfId="8" applyFont="1" applyBorder="1"/>
    <xf numFmtId="37" fontId="19" fillId="0" borderId="7" xfId="1" applyNumberFormat="1" applyFont="1" applyFill="1" applyBorder="1" applyAlignment="1" applyProtection="1">
      <alignment horizontal="right"/>
      <protection locked="0"/>
    </xf>
    <xf numFmtId="37" fontId="19" fillId="0" borderId="6" xfId="1" applyNumberFormat="1" applyFont="1" applyFill="1" applyBorder="1" applyAlignment="1" applyProtection="1">
      <alignment horizontal="right"/>
      <protection locked="0"/>
    </xf>
    <xf numFmtId="165" fontId="32" fillId="6" borderId="1" xfId="8" quotePrefix="1" applyFont="1" applyFill="1" applyBorder="1" applyAlignment="1">
      <alignment horizontal="left"/>
    </xf>
    <xf numFmtId="37" fontId="28" fillId="6" borderId="2" xfId="1" applyNumberFormat="1" applyFont="1" applyFill="1" applyBorder="1" applyAlignment="1" applyProtection="1">
      <alignment horizontal="right"/>
    </xf>
    <xf numFmtId="37" fontId="28" fillId="6" borderId="17" xfId="1" applyNumberFormat="1" applyFont="1" applyFill="1" applyBorder="1" applyAlignment="1" applyProtection="1">
      <alignment horizontal="right"/>
    </xf>
    <xf numFmtId="37" fontId="19" fillId="0" borderId="15" xfId="1" applyNumberFormat="1" applyFont="1" applyFill="1" applyBorder="1" applyAlignment="1" applyProtection="1">
      <alignment horizontal="right"/>
      <protection locked="0"/>
    </xf>
    <xf numFmtId="37" fontId="19" fillId="0" borderId="13" xfId="1" applyNumberFormat="1" applyFont="1" applyFill="1" applyBorder="1" applyAlignment="1" applyProtection="1">
      <alignment horizontal="right"/>
      <protection locked="0"/>
    </xf>
    <xf numFmtId="165" fontId="33" fillId="0" borderId="12" xfId="8" applyFont="1" applyBorder="1" applyAlignment="1">
      <alignment horizontal="left"/>
    </xf>
    <xf numFmtId="37" fontId="19" fillId="0" borderId="5" xfId="1" applyNumberFormat="1" applyFont="1" applyFill="1" applyBorder="1" applyAlignment="1" applyProtection="1">
      <alignment horizontal="right"/>
      <protection locked="0"/>
    </xf>
    <xf numFmtId="37" fontId="27" fillId="0" borderId="15" xfId="1" applyNumberFormat="1" applyFont="1" applyFill="1" applyBorder="1" applyAlignment="1" applyProtection="1">
      <alignment horizontal="right"/>
      <protection locked="0"/>
    </xf>
    <xf numFmtId="37" fontId="27" fillId="0" borderId="11" xfId="1" applyNumberFormat="1" applyFont="1" applyFill="1" applyBorder="1" applyAlignment="1" applyProtection="1">
      <alignment horizontal="right"/>
      <protection locked="0"/>
    </xf>
    <xf numFmtId="37" fontId="27" fillId="0" borderId="13" xfId="1" applyNumberFormat="1" applyFont="1" applyFill="1" applyBorder="1" applyAlignment="1" applyProtection="1">
      <alignment horizontal="right"/>
      <protection locked="0"/>
    </xf>
    <xf numFmtId="37" fontId="28" fillId="21" borderId="11" xfId="1" applyNumberFormat="1" applyFont="1" applyFill="1" applyBorder="1" applyAlignment="1" applyProtection="1">
      <alignment horizontal="right"/>
      <protection locked="0"/>
    </xf>
    <xf numFmtId="37" fontId="19" fillId="0" borderId="9" xfId="1" applyNumberFormat="1" applyFont="1" applyFill="1" applyBorder="1" applyAlignment="1" applyProtection="1">
      <alignment horizontal="right"/>
      <protection locked="0"/>
    </xf>
    <xf numFmtId="165" fontId="33" fillId="5" borderId="12" xfId="8" applyFont="1" applyFill="1" applyBorder="1"/>
    <xf numFmtId="37" fontId="27" fillId="2" borderId="5" xfId="1" applyNumberFormat="1" applyFont="1" applyFill="1" applyBorder="1" applyAlignment="1" applyProtection="1">
      <alignment horizontal="right"/>
      <protection locked="0"/>
    </xf>
    <xf numFmtId="37" fontId="28" fillId="2" borderId="11" xfId="1" applyNumberFormat="1" applyFont="1" applyFill="1" applyBorder="1" applyAlignment="1" applyProtection="1">
      <alignment horizontal="right"/>
    </xf>
    <xf numFmtId="37" fontId="28" fillId="6" borderId="2" xfId="1" applyNumberFormat="1" applyFont="1" applyFill="1" applyBorder="1" applyAlignment="1">
      <alignment horizontal="right"/>
    </xf>
    <xf numFmtId="37" fontId="28" fillId="6" borderId="17" xfId="1" applyNumberFormat="1" applyFont="1" applyFill="1" applyBorder="1" applyAlignment="1">
      <alignment horizontal="right"/>
    </xf>
    <xf numFmtId="37" fontId="19" fillId="0" borderId="2" xfId="1" applyNumberFormat="1" applyFont="1" applyFill="1" applyBorder="1" applyAlignment="1" applyProtection="1">
      <alignment horizontal="right"/>
    </xf>
    <xf numFmtId="37" fontId="19" fillId="0" borderId="11" xfId="1" applyNumberFormat="1" applyFont="1" applyFill="1" applyBorder="1" applyAlignment="1" applyProtection="1">
      <alignment horizontal="right"/>
    </xf>
    <xf numFmtId="37" fontId="19" fillId="0" borderId="17" xfId="1" applyNumberFormat="1" applyFont="1" applyFill="1" applyBorder="1" applyAlignment="1" applyProtection="1">
      <alignment horizontal="right"/>
    </xf>
    <xf numFmtId="37" fontId="27" fillId="0" borderId="5" xfId="1" applyNumberFormat="1" applyFont="1" applyFill="1" applyBorder="1" applyAlignment="1" applyProtection="1">
      <alignment horizontal="right"/>
      <protection locked="0"/>
    </xf>
    <xf numFmtId="0" fontId="27" fillId="0" borderId="12" xfId="21" applyFont="1" applyBorder="1"/>
    <xf numFmtId="37" fontId="28" fillId="21" borderId="13" xfId="1" applyNumberFormat="1" applyFont="1" applyFill="1" applyBorder="1" applyAlignment="1" applyProtection="1">
      <alignment horizontal="right"/>
      <protection locked="0"/>
    </xf>
    <xf numFmtId="164" fontId="32" fillId="6" borderId="1" xfId="2" applyNumberFormat="1" applyFont="1" applyFill="1" applyBorder="1" applyAlignment="1" applyProtection="1">
      <alignment horizontal="left"/>
    </xf>
    <xf numFmtId="0" fontId="27" fillId="0" borderId="5" xfId="21" applyFont="1" applyBorder="1"/>
    <xf numFmtId="37" fontId="27" fillId="0" borderId="5" xfId="1" applyNumberFormat="1" applyFont="1" applyBorder="1"/>
    <xf numFmtId="37" fontId="27" fillId="0" borderId="11" xfId="1" applyNumberFormat="1" applyFont="1" applyBorder="1"/>
    <xf numFmtId="37" fontId="28" fillId="21" borderId="11" xfId="1" applyNumberFormat="1" applyFont="1" applyFill="1" applyBorder="1"/>
    <xf numFmtId="37" fontId="28" fillId="2" borderId="5" xfId="1" applyNumberFormat="1" applyFont="1" applyFill="1" applyBorder="1" applyAlignment="1" applyProtection="1">
      <alignment horizontal="right"/>
    </xf>
    <xf numFmtId="0" fontId="27" fillId="0" borderId="5" xfId="1" applyNumberFormat="1" applyFont="1" applyFill="1" applyBorder="1" applyAlignment="1">
      <alignment horizontal="center"/>
    </xf>
    <xf numFmtId="37" fontId="28" fillId="0" borderId="5" xfId="1" applyNumberFormat="1" applyFont="1" applyFill="1" applyBorder="1" applyAlignment="1" applyProtection="1">
      <alignment horizontal="right"/>
    </xf>
    <xf numFmtId="37" fontId="28" fillId="0" borderId="11" xfId="1" applyNumberFormat="1" applyFont="1" applyFill="1" applyBorder="1" applyAlignment="1" applyProtection="1">
      <alignment horizontal="right"/>
    </xf>
    <xf numFmtId="37" fontId="27" fillId="0" borderId="9" xfId="1" applyNumberFormat="1" applyFont="1" applyFill="1" applyBorder="1" applyAlignment="1" applyProtection="1">
      <alignment horizontal="right"/>
      <protection locked="0"/>
    </xf>
    <xf numFmtId="37" fontId="27" fillId="0" borderId="6" xfId="1" applyNumberFormat="1" applyFont="1" applyFill="1" applyBorder="1" applyAlignment="1" applyProtection="1">
      <alignment horizontal="right"/>
      <protection locked="0"/>
    </xf>
    <xf numFmtId="37" fontId="28" fillId="21" borderId="6" xfId="1" applyNumberFormat="1" applyFont="1" applyFill="1" applyBorder="1" applyAlignment="1" applyProtection="1">
      <alignment horizontal="right"/>
      <protection locked="0"/>
    </xf>
    <xf numFmtId="37" fontId="28" fillId="6" borderId="15" xfId="1" applyNumberFormat="1" applyFont="1" applyFill="1" applyBorder="1" applyAlignment="1" applyProtection="1">
      <alignment horizontal="right"/>
    </xf>
    <xf numFmtId="37" fontId="28" fillId="6" borderId="13" xfId="1" applyNumberFormat="1" applyFont="1" applyFill="1" applyBorder="1" applyAlignment="1" applyProtection="1">
      <alignment horizontal="right"/>
    </xf>
    <xf numFmtId="167" fontId="27" fillId="0" borderId="0" xfId="1" applyNumberFormat="1" applyFont="1"/>
    <xf numFmtId="0" fontId="48" fillId="0" borderId="0" xfId="0" applyFont="1"/>
    <xf numFmtId="0" fontId="33" fillId="0" borderId="15" xfId="0" applyFont="1" applyBorder="1"/>
    <xf numFmtId="0" fontId="48" fillId="0" borderId="4" xfId="0" applyFont="1" applyBorder="1" applyProtection="1">
      <protection locked="0"/>
    </xf>
    <xf numFmtId="37" fontId="33" fillId="0" borderId="13" xfId="0" applyNumberFormat="1" applyFont="1" applyBorder="1"/>
    <xf numFmtId="37" fontId="27" fillId="0" borderId="13" xfId="0" applyNumberFormat="1" applyFont="1" applyBorder="1"/>
    <xf numFmtId="37" fontId="28" fillId="21" borderId="13" xfId="0" applyNumberFormat="1" applyFont="1" applyFill="1" applyBorder="1"/>
    <xf numFmtId="0" fontId="33" fillId="0" borderId="5" xfId="0" applyFont="1" applyBorder="1"/>
    <xf numFmtId="0" fontId="48" fillId="0" borderId="0" xfId="0" applyFont="1" applyProtection="1">
      <protection locked="0"/>
    </xf>
    <xf numFmtId="37" fontId="33" fillId="0" borderId="11" xfId="0" applyNumberFormat="1" applyFont="1" applyBorder="1"/>
    <xf numFmtId="37" fontId="27" fillId="0" borderId="11" xfId="0" applyNumberFormat="1" applyFont="1" applyBorder="1"/>
    <xf numFmtId="37" fontId="28" fillId="21" borderId="11" xfId="0" applyNumberFormat="1" applyFont="1" applyFill="1" applyBorder="1"/>
    <xf numFmtId="0" fontId="27" fillId="0" borderId="0" xfId="0" applyFont="1" applyProtection="1">
      <protection locked="0"/>
    </xf>
    <xf numFmtId="0" fontId="27" fillId="0" borderId="5" xfId="0" applyFont="1" applyBorder="1" applyAlignment="1" applyProtection="1">
      <alignment horizontal="center"/>
      <protection locked="0"/>
    </xf>
    <xf numFmtId="37" fontId="46" fillId="0" borderId="11" xfId="0" applyNumberFormat="1" applyFont="1" applyBorder="1" applyProtection="1">
      <protection locked="0"/>
    </xf>
    <xf numFmtId="0" fontId="27" fillId="0" borderId="5" xfId="0" applyFont="1" applyBorder="1" applyAlignment="1" applyProtection="1">
      <alignment horizontal="center"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left"/>
      <protection locked="0"/>
    </xf>
    <xf numFmtId="0" fontId="28" fillId="8" borderId="2" xfId="0" quotePrefix="1" applyFont="1" applyFill="1" applyBorder="1" applyAlignment="1">
      <alignment horizontal="center"/>
    </xf>
    <xf numFmtId="0" fontId="28" fillId="8" borderId="18" xfId="0" applyFont="1" applyFill="1" applyBorder="1" applyProtection="1">
      <protection locked="0"/>
    </xf>
    <xf numFmtId="37" fontId="32" fillId="8" borderId="17" xfId="0" applyNumberFormat="1" applyFont="1" applyFill="1" applyBorder="1"/>
    <xf numFmtId="37" fontId="28" fillId="8" borderId="17" xfId="0" applyNumberFormat="1" applyFont="1" applyFill="1" applyBorder="1"/>
    <xf numFmtId="0" fontId="28" fillId="8" borderId="2" xfId="0" applyFont="1" applyFill="1" applyBorder="1" applyAlignment="1">
      <alignment horizontal="center"/>
    </xf>
    <xf numFmtId="0" fontId="27" fillId="0" borderId="5" xfId="0" applyFont="1" applyBorder="1" applyAlignment="1">
      <alignment horizontal="center"/>
    </xf>
    <xf numFmtId="37" fontId="33" fillId="21" borderId="74" xfId="0" applyNumberFormat="1" applyFont="1" applyFill="1" applyBorder="1"/>
    <xf numFmtId="37" fontId="28" fillId="21" borderId="74" xfId="0" applyNumberFormat="1" applyFont="1" applyFill="1" applyBorder="1"/>
    <xf numFmtId="0" fontId="27" fillId="0" borderId="0" xfId="0" applyFont="1" applyAlignment="1" applyProtection="1">
      <alignment horizontal="left" wrapText="1"/>
      <protection locked="0"/>
    </xf>
    <xf numFmtId="0" fontId="47" fillId="0" borderId="0" xfId="0" applyFont="1" applyProtection="1">
      <protection locked="0"/>
    </xf>
    <xf numFmtId="37" fontId="27" fillId="21" borderId="74" xfId="0" applyNumberFormat="1" applyFont="1" applyFill="1" applyBorder="1"/>
    <xf numFmtId="37" fontId="28" fillId="21" borderId="11" xfId="0" applyNumberFormat="1" applyFont="1" applyFill="1" applyBorder="1" applyProtection="1">
      <protection locked="0"/>
    </xf>
    <xf numFmtId="37" fontId="46" fillId="0" borderId="99" xfId="0" applyNumberFormat="1" applyFont="1" applyBorder="1" applyProtection="1">
      <protection locked="0"/>
    </xf>
    <xf numFmtId="37" fontId="28" fillId="21" borderId="99" xfId="0" applyNumberFormat="1" applyFont="1" applyFill="1" applyBorder="1" applyProtection="1">
      <protection locked="0"/>
    </xf>
    <xf numFmtId="0" fontId="33" fillId="0" borderId="5" xfId="0" applyFont="1" applyBorder="1" applyAlignment="1">
      <alignment horizontal="center"/>
    </xf>
    <xf numFmtId="0" fontId="33" fillId="0" borderId="0" xfId="0" applyFont="1"/>
    <xf numFmtId="37" fontId="19" fillId="0" borderId="11" xfId="0" applyNumberFormat="1" applyFont="1" applyBorder="1"/>
    <xf numFmtId="0" fontId="32" fillId="8" borderId="44" xfId="0" applyFont="1" applyFill="1" applyBorder="1" applyAlignment="1">
      <alignment horizontal="center"/>
    </xf>
    <xf numFmtId="0" fontId="32" fillId="8" borderId="45" xfId="0" applyFont="1" applyFill="1" applyBorder="1" applyProtection="1">
      <protection locked="0"/>
    </xf>
    <xf numFmtId="37" fontId="32" fillId="8" borderId="71" xfId="0" applyNumberFormat="1" applyFont="1" applyFill="1" applyBorder="1"/>
    <xf numFmtId="37" fontId="28" fillId="8" borderId="71" xfId="0" applyNumberFormat="1" applyFont="1" applyFill="1" applyBorder="1"/>
    <xf numFmtId="0" fontId="32" fillId="8" borderId="48" xfId="0" applyFont="1" applyFill="1" applyBorder="1" applyAlignment="1">
      <alignment horizontal="center"/>
    </xf>
    <xf numFmtId="0" fontId="32" fillId="8" borderId="49" xfId="0" applyFont="1" applyFill="1" applyBorder="1" applyProtection="1">
      <protection locked="0"/>
    </xf>
    <xf numFmtId="37" fontId="32" fillId="8" borderId="76" xfId="0" applyNumberFormat="1" applyFont="1" applyFill="1" applyBorder="1"/>
    <xf numFmtId="37" fontId="28" fillId="8" borderId="76" xfId="0" applyNumberFormat="1" applyFont="1" applyFill="1" applyBorder="1"/>
    <xf numFmtId="0" fontId="20" fillId="0" borderId="0" xfId="57" applyFont="1"/>
    <xf numFmtId="0" fontId="29" fillId="0" borderId="0" xfId="57" applyFont="1" applyAlignment="1">
      <alignment wrapText="1"/>
    </xf>
    <xf numFmtId="174" fontId="19" fillId="0" borderId="89" xfId="58" applyNumberFormat="1" applyFont="1" applyBorder="1" applyAlignment="1" applyProtection="1">
      <alignment horizontal="right" vertical="center" wrapText="1"/>
      <protection locked="0"/>
    </xf>
    <xf numFmtId="174" fontId="19" fillId="0" borderId="72" xfId="60" applyNumberFormat="1" applyFont="1" applyBorder="1" applyAlignment="1" applyProtection="1">
      <alignment horizontal="right" vertical="center" wrapText="1"/>
      <protection locked="0"/>
    </xf>
    <xf numFmtId="0" fontId="21" fillId="0" borderId="0" xfId="57" applyFont="1"/>
    <xf numFmtId="174" fontId="19" fillId="0" borderId="32" xfId="58" applyNumberFormat="1" applyFont="1" applyBorder="1" applyAlignment="1" applyProtection="1">
      <alignment horizontal="right" vertical="center" wrapText="1"/>
      <protection locked="0"/>
    </xf>
    <xf numFmtId="174" fontId="19" fillId="0" borderId="67" xfId="60" applyNumberFormat="1" applyFont="1" applyBorder="1" applyAlignment="1" applyProtection="1">
      <alignment horizontal="right" vertical="center" wrapText="1"/>
      <protection locked="0"/>
    </xf>
    <xf numFmtId="0" fontId="27" fillId="0" borderId="0" xfId="57" applyFont="1"/>
    <xf numFmtId="174" fontId="19" fillId="0" borderId="90" xfId="58" applyNumberFormat="1" applyFont="1" applyBorder="1" applyAlignment="1" applyProtection="1">
      <alignment horizontal="right" vertical="center" wrapText="1"/>
      <protection locked="0"/>
    </xf>
    <xf numFmtId="174" fontId="19" fillId="0" borderId="50" xfId="60" applyNumberFormat="1" applyFont="1" applyBorder="1" applyAlignment="1" applyProtection="1">
      <alignment horizontal="right" vertical="center" wrapText="1"/>
      <protection locked="0"/>
    </xf>
    <xf numFmtId="0" fontId="20" fillId="2" borderId="24" xfId="57" applyFont="1" applyFill="1" applyBorder="1" applyAlignment="1">
      <alignment horizontal="right" vertical="center" wrapText="1"/>
    </xf>
    <xf numFmtId="174" fontId="20" fillId="2" borderId="63" xfId="57" applyNumberFormat="1" applyFont="1" applyFill="1" applyBorder="1" applyAlignment="1">
      <alignment horizontal="right" vertical="center" wrapText="1"/>
    </xf>
    <xf numFmtId="171" fontId="20" fillId="2" borderId="18" xfId="57" applyNumberFormat="1" applyFont="1" applyFill="1" applyBorder="1" applyAlignment="1">
      <alignment horizontal="right" vertical="center" wrapText="1"/>
    </xf>
    <xf numFmtId="174" fontId="20" fillId="2" borderId="35" xfId="57" applyNumberFormat="1" applyFont="1" applyFill="1" applyBorder="1" applyAlignment="1">
      <alignment horizontal="right" vertical="center" wrapText="1"/>
    </xf>
    <xf numFmtId="0" fontId="19" fillId="0" borderId="0" xfId="57" applyFont="1" applyAlignment="1">
      <alignment horizontal="left" vertical="center" wrapText="1"/>
    </xf>
    <xf numFmtId="0" fontId="27" fillId="0" borderId="0" xfId="0" applyFont="1" applyAlignment="1">
      <alignment horizontal="left"/>
    </xf>
    <xf numFmtId="0" fontId="27" fillId="0" borderId="36" xfId="0" applyFont="1" applyBorder="1" applyAlignment="1">
      <alignment horizontal="center"/>
    </xf>
    <xf numFmtId="0" fontId="27" fillId="0" borderId="38" xfId="0" applyFont="1" applyBorder="1" applyAlignment="1">
      <alignment horizontal="center"/>
    </xf>
    <xf numFmtId="165" fontId="33" fillId="0" borderId="3" xfId="8" applyFont="1" applyBorder="1"/>
    <xf numFmtId="165" fontId="27" fillId="0" borderId="38" xfId="8" applyFont="1" applyBorder="1" applyAlignment="1">
      <alignment horizontal="center"/>
    </xf>
    <xf numFmtId="165" fontId="33" fillId="0" borderId="31" xfId="8" applyFont="1" applyBorder="1"/>
    <xf numFmtId="0" fontId="31" fillId="2" borderId="24" xfId="0" applyFont="1" applyFill="1" applyBorder="1" applyAlignment="1">
      <alignment horizontal="left"/>
    </xf>
    <xf numFmtId="174" fontId="28" fillId="2" borderId="1" xfId="2" applyNumberFormat="1" applyFont="1" applyFill="1" applyBorder="1"/>
    <xf numFmtId="165" fontId="27" fillId="0" borderId="97" xfId="8" applyFont="1" applyBorder="1" applyAlignment="1">
      <alignment horizontal="center"/>
    </xf>
    <xf numFmtId="165" fontId="33" fillId="0" borderId="25" xfId="8" applyFont="1" applyBorder="1"/>
    <xf numFmtId="165" fontId="27" fillId="0" borderId="10" xfId="8" applyFont="1" applyBorder="1" applyAlignment="1">
      <alignment horizontal="center"/>
    </xf>
    <xf numFmtId="0" fontId="38" fillId="2" borderId="24" xfId="0" applyFont="1" applyFill="1" applyBorder="1" applyAlignment="1">
      <alignment horizontal="left"/>
    </xf>
    <xf numFmtId="0" fontId="27" fillId="0" borderId="57" xfId="0" applyFont="1" applyBorder="1" applyAlignment="1">
      <alignment horizontal="center"/>
    </xf>
    <xf numFmtId="174" fontId="27" fillId="21" borderId="72" xfId="2" applyNumberFormat="1" applyFont="1" applyFill="1" applyBorder="1"/>
    <xf numFmtId="174" fontId="28" fillId="2" borderId="35" xfId="2" applyNumberFormat="1" applyFont="1" applyFill="1" applyBorder="1"/>
    <xf numFmtId="0" fontId="28" fillId="0" borderId="0" xfId="47" applyFont="1" applyAlignment="1" applyProtection="1">
      <alignment horizontal="right"/>
      <protection locked="0"/>
    </xf>
    <xf numFmtId="42" fontId="27" fillId="0" borderId="0" xfId="8" applyNumberFormat="1" applyFont="1"/>
    <xf numFmtId="165" fontId="32" fillId="0" borderId="0" xfId="8" applyFont="1" applyAlignment="1">
      <alignment horizontal="left"/>
    </xf>
    <xf numFmtId="165" fontId="32" fillId="0" borderId="67" xfId="8" applyFont="1" applyBorder="1" applyAlignment="1">
      <alignment horizontal="left"/>
    </xf>
    <xf numFmtId="165" fontId="32" fillId="0" borderId="47" xfId="8" applyFont="1" applyBorder="1" applyAlignment="1">
      <alignment horizontal="left"/>
    </xf>
    <xf numFmtId="165" fontId="33" fillId="11" borderId="71" xfId="36" applyNumberFormat="1" applyFont="1" applyBorder="1" applyAlignment="1">
      <alignment horizontal="center"/>
    </xf>
    <xf numFmtId="166" fontId="28" fillId="0" borderId="47" xfId="8" applyNumberFormat="1" applyFont="1" applyBorder="1" applyAlignment="1">
      <alignment horizontal="left"/>
    </xf>
    <xf numFmtId="174" fontId="19" fillId="0" borderId="42" xfId="2" applyNumberFormat="1" applyFont="1" applyBorder="1" applyAlignment="1"/>
    <xf numFmtId="174" fontId="28" fillId="21" borderId="42" xfId="2" applyNumberFormat="1" applyFont="1" applyFill="1" applyBorder="1" applyAlignment="1"/>
    <xf numFmtId="165" fontId="33" fillId="11" borderId="74" xfId="36" applyNumberFormat="1" applyFont="1" applyBorder="1" applyAlignment="1">
      <alignment horizontal="center"/>
    </xf>
    <xf numFmtId="174" fontId="19" fillId="0" borderId="47" xfId="2" applyNumberFormat="1" applyFont="1" applyBorder="1" applyAlignment="1"/>
    <xf numFmtId="174" fontId="28" fillId="21" borderId="47" xfId="2" applyNumberFormat="1" applyFont="1" applyFill="1" applyBorder="1" applyAlignment="1"/>
    <xf numFmtId="165" fontId="32" fillId="0" borderId="66" xfId="8" applyFont="1" applyBorder="1" applyAlignment="1">
      <alignment horizontal="left"/>
    </xf>
    <xf numFmtId="165" fontId="32" fillId="0" borderId="53" xfId="8" applyFont="1" applyBorder="1" applyAlignment="1">
      <alignment horizontal="left"/>
    </xf>
    <xf numFmtId="165" fontId="33" fillId="11" borderId="76" xfId="36" applyNumberFormat="1" applyFont="1" applyBorder="1" applyAlignment="1">
      <alignment horizontal="center"/>
    </xf>
    <xf numFmtId="166" fontId="28" fillId="0" borderId="53" xfId="8" applyNumberFormat="1" applyFont="1" applyBorder="1" applyAlignment="1">
      <alignment horizontal="left"/>
    </xf>
    <xf numFmtId="174" fontId="19" fillId="0" borderId="53" xfId="2" applyNumberFormat="1" applyFont="1" applyBorder="1" applyAlignment="1"/>
    <xf numFmtId="174" fontId="28" fillId="21" borderId="53" xfId="2" applyNumberFormat="1" applyFont="1" applyFill="1" applyBorder="1" applyAlignment="1"/>
    <xf numFmtId="0" fontId="28" fillId="2" borderId="2" xfId="4" applyFont="1" applyFill="1" applyBorder="1" applyAlignment="1">
      <alignment horizontal="right" vertical="center" wrapText="1"/>
    </xf>
    <xf numFmtId="0" fontId="28" fillId="2" borderId="18" xfId="4" applyFont="1" applyFill="1" applyBorder="1" applyAlignment="1">
      <alignment horizontal="right" vertical="center" wrapText="1"/>
    </xf>
    <xf numFmtId="0" fontId="28" fillId="2" borderId="1" xfId="4" applyFont="1" applyFill="1" applyBorder="1" applyAlignment="1">
      <alignment horizontal="right" vertical="center" wrapText="1"/>
    </xf>
    <xf numFmtId="174" fontId="28" fillId="2" borderId="1" xfId="4" applyNumberFormat="1" applyFont="1" applyFill="1" applyBorder="1" applyAlignment="1">
      <alignment wrapText="1"/>
    </xf>
    <xf numFmtId="0" fontId="38" fillId="0" borderId="44" xfId="4" applyFont="1" applyBorder="1"/>
    <xf numFmtId="165" fontId="32" fillId="0" borderId="71" xfId="8" applyFont="1" applyBorder="1"/>
    <xf numFmtId="174" fontId="19" fillId="0" borderId="95" xfId="27" applyNumberFormat="1" applyFont="1" applyFill="1" applyBorder="1"/>
    <xf numFmtId="174" fontId="32" fillId="21" borderId="95" xfId="27" applyNumberFormat="1" applyFont="1" applyFill="1" applyBorder="1"/>
    <xf numFmtId="165" fontId="27" fillId="22" borderId="13" xfId="8" applyFont="1" applyFill="1" applyBorder="1"/>
    <xf numFmtId="0" fontId="38" fillId="0" borderId="46" xfId="4" applyFont="1" applyBorder="1"/>
    <xf numFmtId="165" fontId="32" fillId="0" borderId="74" xfId="8" applyFont="1" applyBorder="1"/>
    <xf numFmtId="174" fontId="19" fillId="0" borderId="93" xfId="27" applyNumberFormat="1" applyFont="1" applyFill="1" applyBorder="1"/>
    <xf numFmtId="174" fontId="32" fillId="21" borderId="92" xfId="27" applyNumberFormat="1" applyFont="1" applyFill="1" applyBorder="1"/>
    <xf numFmtId="165" fontId="27" fillId="22" borderId="11" xfId="8" applyFont="1" applyFill="1" applyBorder="1"/>
    <xf numFmtId="0" fontId="27" fillId="22" borderId="11" xfId="46" applyFont="1" applyFill="1" applyBorder="1"/>
    <xf numFmtId="0" fontId="27" fillId="0" borderId="0" xfId="46" applyFont="1"/>
    <xf numFmtId="0" fontId="38" fillId="0" borderId="48" xfId="4" applyFont="1" applyBorder="1"/>
    <xf numFmtId="165" fontId="32" fillId="0" borderId="76" xfId="8" applyFont="1" applyBorder="1"/>
    <xf numFmtId="174" fontId="19" fillId="0" borderId="96" xfId="27" applyNumberFormat="1" applyFont="1" applyFill="1" applyBorder="1"/>
    <xf numFmtId="174" fontId="32" fillId="21" borderId="8" xfId="27" applyNumberFormat="1" applyFont="1" applyFill="1" applyBorder="1"/>
    <xf numFmtId="165" fontId="27" fillId="22" borderId="6" xfId="8" applyFont="1" applyFill="1" applyBorder="1"/>
    <xf numFmtId="174" fontId="28" fillId="2" borderId="1" xfId="42" applyNumberFormat="1" applyFont="1" applyFill="1" applyBorder="1"/>
    <xf numFmtId="0" fontId="38" fillId="14" borderId="0" xfId="4" applyFont="1" applyFill="1" applyAlignment="1">
      <alignment horizontal="right" vertical="center" wrapText="1"/>
    </xf>
    <xf numFmtId="42" fontId="28" fillId="14" borderId="0" xfId="42" applyNumberFormat="1" applyFont="1" applyFill="1" applyBorder="1"/>
    <xf numFmtId="0" fontId="38" fillId="0" borderId="71" xfId="4" applyFont="1" applyBorder="1"/>
    <xf numFmtId="174" fontId="19" fillId="0" borderId="92" xfId="27" applyNumberFormat="1" applyFont="1" applyFill="1" applyBorder="1"/>
    <xf numFmtId="0" fontId="38" fillId="0" borderId="74" xfId="4" applyFont="1" applyBorder="1"/>
    <xf numFmtId="0" fontId="38" fillId="0" borderId="76" xfId="4" applyFont="1" applyBorder="1"/>
    <xf numFmtId="0" fontId="28" fillId="2" borderId="94" xfId="4" applyFont="1" applyFill="1" applyBorder="1" applyAlignment="1">
      <alignment horizontal="right" vertical="center" wrapText="1"/>
    </xf>
    <xf numFmtId="165" fontId="27" fillId="0" borderId="0" xfId="8" applyFont="1" applyAlignment="1">
      <alignment horizontal="left"/>
    </xf>
    <xf numFmtId="0" fontId="27" fillId="0" borderId="71" xfId="0" applyFont="1" applyBorder="1"/>
    <xf numFmtId="174" fontId="19" fillId="0" borderId="109" xfId="27" applyNumberFormat="1" applyFont="1" applyBorder="1"/>
    <xf numFmtId="174" fontId="19" fillId="0" borderId="92" xfId="27" applyNumberFormat="1" applyFont="1" applyBorder="1"/>
    <xf numFmtId="0" fontId="27" fillId="0" borderId="74" xfId="0" applyFont="1" applyBorder="1"/>
    <xf numFmtId="174" fontId="19" fillId="0" borderId="110" xfId="27" applyNumberFormat="1" applyFont="1" applyBorder="1"/>
    <xf numFmtId="174" fontId="19" fillId="0" borderId="93" xfId="27" applyNumberFormat="1" applyFont="1" applyBorder="1"/>
    <xf numFmtId="0" fontId="27" fillId="0" borderId="76" xfId="0" applyFont="1" applyBorder="1"/>
    <xf numFmtId="174" fontId="19" fillId="0" borderId="111" xfId="27" applyNumberFormat="1" applyFont="1" applyBorder="1"/>
    <xf numFmtId="0" fontId="28" fillId="2" borderId="17" xfId="4" applyFont="1" applyFill="1" applyBorder="1" applyAlignment="1">
      <alignment horizontal="right" vertical="center" wrapText="1"/>
    </xf>
    <xf numFmtId="174" fontId="28" fillId="2" borderId="8" xfId="42" applyNumberFormat="1" applyFont="1" applyFill="1" applyBorder="1"/>
    <xf numFmtId="165" fontId="27" fillId="0" borderId="0" xfId="8" applyFont="1" applyProtection="1">
      <protection locked="0"/>
    </xf>
    <xf numFmtId="165" fontId="45" fillId="0" borderId="0" xfId="8" applyFont="1"/>
    <xf numFmtId="167" fontId="27" fillId="0" borderId="0" xfId="1" applyNumberFormat="1" applyFont="1" applyFill="1" applyAlignment="1" applyProtection="1">
      <alignment horizontal="center"/>
      <protection locked="0"/>
    </xf>
    <xf numFmtId="167" fontId="28" fillId="0" borderId="0" xfId="1" applyNumberFormat="1" applyFont="1" applyFill="1" applyAlignment="1" applyProtection="1">
      <alignment horizontal="center"/>
      <protection locked="0"/>
    </xf>
    <xf numFmtId="166" fontId="28" fillId="0" borderId="0" xfId="8" applyNumberFormat="1" applyFont="1" applyAlignment="1">
      <alignment horizontal="center"/>
    </xf>
    <xf numFmtId="165" fontId="27" fillId="0" borderId="0" xfId="8" applyFont="1" applyAlignment="1" applyProtection="1">
      <alignment horizontal="center" vertical="center" wrapText="1"/>
      <protection locked="0"/>
    </xf>
    <xf numFmtId="165" fontId="28" fillId="0" borderId="15" xfId="8" quotePrefix="1" applyFont="1" applyBorder="1" applyAlignment="1" applyProtection="1">
      <alignment horizontal="center" vertical="center" wrapText="1"/>
      <protection locked="0"/>
    </xf>
    <xf numFmtId="165" fontId="24" fillId="0" borderId="14" xfId="8" applyFont="1" applyBorder="1"/>
    <xf numFmtId="38" fontId="19" fillId="0" borderId="27" xfId="1" applyNumberFormat="1" applyFont="1" applyBorder="1" applyAlignment="1">
      <alignment horizontal="right"/>
    </xf>
    <xf numFmtId="38" fontId="19" fillId="0" borderId="0" xfId="1" applyNumberFormat="1" applyFont="1" applyAlignment="1">
      <alignment horizontal="right"/>
    </xf>
    <xf numFmtId="38" fontId="28" fillId="21" borderId="11" xfId="1" applyNumberFormat="1" applyFont="1" applyFill="1" applyBorder="1" applyAlignment="1">
      <alignment horizontal="right"/>
    </xf>
    <xf numFmtId="167" fontId="28" fillId="0" borderId="5" xfId="1" quotePrefix="1" applyNumberFormat="1" applyFont="1" applyBorder="1" applyAlignment="1" applyProtection="1">
      <alignment horizontal="center" vertical="center" wrapText="1"/>
      <protection locked="0"/>
    </xf>
    <xf numFmtId="167" fontId="24" fillId="0" borderId="12" xfId="1" applyNumberFormat="1" applyFont="1" applyBorder="1"/>
    <xf numFmtId="167" fontId="32" fillId="0" borderId="12" xfId="1" applyNumberFormat="1" applyFont="1" applyBorder="1"/>
    <xf numFmtId="38" fontId="27" fillId="0" borderId="27" xfId="1" applyNumberFormat="1" applyFont="1" applyBorder="1" applyAlignment="1" applyProtection="1">
      <alignment horizontal="right"/>
      <protection locked="0"/>
    </xf>
    <xf numFmtId="38" fontId="27" fillId="0" borderId="0" xfId="1" applyNumberFormat="1" applyFont="1" applyAlignment="1" applyProtection="1">
      <alignment horizontal="right"/>
      <protection locked="0"/>
    </xf>
    <xf numFmtId="38" fontId="19" fillId="0" borderId="27" xfId="1" applyNumberFormat="1" applyFont="1" applyBorder="1" applyAlignment="1" applyProtection="1">
      <alignment horizontal="right"/>
      <protection locked="0"/>
    </xf>
    <xf numFmtId="38" fontId="19" fillId="0" borderId="0" xfId="1" applyNumberFormat="1" applyFont="1" applyAlignment="1" applyProtection="1">
      <alignment horizontal="right"/>
      <protection locked="0"/>
    </xf>
    <xf numFmtId="38" fontId="19" fillId="0" borderId="105" xfId="1" applyNumberFormat="1" applyFont="1" applyBorder="1" applyAlignment="1" applyProtection="1">
      <alignment horizontal="right"/>
      <protection locked="0"/>
    </xf>
    <xf numFmtId="38" fontId="28" fillId="6" borderId="24" xfId="1" applyNumberFormat="1" applyFont="1" applyFill="1" applyBorder="1" applyAlignment="1">
      <alignment horizontal="right"/>
    </xf>
    <xf numFmtId="38" fontId="28" fillId="6" borderId="18" xfId="1" applyNumberFormat="1" applyFont="1" applyFill="1" applyBorder="1" applyAlignment="1">
      <alignment horizontal="right"/>
    </xf>
    <xf numFmtId="38" fontId="19" fillId="0" borderId="65" xfId="1" applyNumberFormat="1" applyFont="1" applyBorder="1" applyAlignment="1" applyProtection="1">
      <alignment horizontal="right"/>
      <protection locked="0"/>
    </xf>
    <xf numFmtId="38" fontId="19" fillId="0" borderId="37" xfId="1" applyNumberFormat="1" applyFont="1" applyBorder="1" applyAlignment="1" applyProtection="1">
      <alignment horizontal="right"/>
      <protection locked="0"/>
    </xf>
    <xf numFmtId="38" fontId="27" fillId="0" borderId="65" xfId="1" applyNumberFormat="1" applyFont="1" applyBorder="1" applyAlignment="1" applyProtection="1">
      <alignment horizontal="right"/>
      <protection locked="0"/>
    </xf>
    <xf numFmtId="38" fontId="19" fillId="0" borderId="62" xfId="1" applyNumberFormat="1" applyFont="1" applyBorder="1" applyAlignment="1" applyProtection="1">
      <alignment horizontal="right"/>
      <protection locked="0"/>
    </xf>
    <xf numFmtId="38" fontId="19" fillId="2" borderId="37" xfId="1" applyNumberFormat="1" applyFont="1" applyFill="1" applyBorder="1" applyAlignment="1" applyProtection="1">
      <alignment horizontal="right"/>
      <protection locked="0"/>
    </xf>
    <xf numFmtId="38" fontId="19" fillId="2" borderId="0" xfId="1" applyNumberFormat="1" applyFont="1" applyFill="1" applyAlignment="1" applyProtection="1">
      <alignment horizontal="right"/>
      <protection locked="0"/>
    </xf>
    <xf numFmtId="38" fontId="28" fillId="2" borderId="11" xfId="1" applyNumberFormat="1" applyFont="1" applyFill="1" applyBorder="1" applyAlignment="1">
      <alignment horizontal="right"/>
    </xf>
    <xf numFmtId="38" fontId="19" fillId="0" borderId="24" xfId="1" applyNumberFormat="1" applyFont="1" applyBorder="1" applyAlignment="1">
      <alignment horizontal="right"/>
    </xf>
    <xf numFmtId="38" fontId="27" fillId="0" borderId="37" xfId="1" applyNumberFormat="1" applyFont="1" applyBorder="1" applyAlignment="1" applyProtection="1">
      <alignment horizontal="right"/>
      <protection locked="0"/>
    </xf>
    <xf numFmtId="167" fontId="27" fillId="0" borderId="65" xfId="1" applyNumberFormat="1" applyFont="1" applyFill="1" applyBorder="1" applyAlignment="1" applyProtection="1">
      <alignment horizontal="center"/>
      <protection locked="0"/>
    </xf>
    <xf numFmtId="167" fontId="27" fillId="0" borderId="14" xfId="1" applyNumberFormat="1" applyFont="1" applyFill="1" applyBorder="1" applyAlignment="1" applyProtection="1">
      <alignment horizontal="center"/>
      <protection locked="0"/>
    </xf>
    <xf numFmtId="167" fontId="27" fillId="21" borderId="13" xfId="1" applyNumberFormat="1" applyFont="1" applyFill="1" applyBorder="1" applyAlignment="1" applyProtection="1">
      <alignment horizontal="center"/>
      <protection locked="0"/>
    </xf>
    <xf numFmtId="38" fontId="19" fillId="0" borderId="37" xfId="1" applyNumberFormat="1" applyFont="1" applyFill="1" applyBorder="1" applyAlignment="1" applyProtection="1">
      <alignment horizontal="right"/>
      <protection locked="0"/>
    </xf>
    <xf numFmtId="38" fontId="19" fillId="0" borderId="12" xfId="1" applyNumberFormat="1" applyFont="1" applyFill="1" applyBorder="1" applyAlignment="1" applyProtection="1">
      <alignment horizontal="right"/>
      <protection locked="0"/>
    </xf>
    <xf numFmtId="38" fontId="28" fillId="21" borderId="11" xfId="1" applyNumberFormat="1" applyFont="1" applyFill="1" applyBorder="1" applyAlignment="1" applyProtection="1">
      <alignment horizontal="right"/>
    </xf>
    <xf numFmtId="38" fontId="27" fillId="0" borderId="62" xfId="1" applyNumberFormat="1" applyFont="1" applyFill="1" applyBorder="1" applyAlignment="1" applyProtection="1">
      <alignment horizontal="right"/>
      <protection locked="0"/>
    </xf>
    <xf numFmtId="38" fontId="27" fillId="0" borderId="8" xfId="1" applyNumberFormat="1" applyFont="1" applyFill="1" applyBorder="1" applyAlignment="1" applyProtection="1">
      <alignment horizontal="right"/>
      <protection locked="0"/>
    </xf>
    <xf numFmtId="38" fontId="28" fillId="21" borderId="6" xfId="1" applyNumberFormat="1" applyFont="1" applyFill="1" applyBorder="1" applyAlignment="1" applyProtection="1">
      <alignment horizontal="right"/>
    </xf>
    <xf numFmtId="165" fontId="28" fillId="0" borderId="5" xfId="8" applyFont="1" applyBorder="1" applyAlignment="1">
      <alignment horizontal="center"/>
    </xf>
    <xf numFmtId="164" fontId="32" fillId="0" borderId="12" xfId="2" applyNumberFormat="1" applyFont="1" applyFill="1" applyBorder="1" applyAlignment="1" applyProtection="1">
      <alignment horizontal="left"/>
    </xf>
    <xf numFmtId="38" fontId="28" fillId="0" borderId="37" xfId="1" applyNumberFormat="1" applyFont="1" applyFill="1" applyBorder="1" applyAlignment="1" applyProtection="1">
      <alignment horizontal="right"/>
    </xf>
    <xf numFmtId="38" fontId="28" fillId="0" borderId="0" xfId="1" applyNumberFormat="1" applyFont="1" applyFill="1" applyBorder="1" applyAlignment="1" applyProtection="1">
      <alignment horizontal="right"/>
    </xf>
    <xf numFmtId="38" fontId="28" fillId="0" borderId="11" xfId="1" applyNumberFormat="1" applyFont="1" applyFill="1" applyBorder="1" applyAlignment="1" applyProtection="1">
      <alignment horizontal="right"/>
    </xf>
    <xf numFmtId="38" fontId="28" fillId="2" borderId="37" xfId="1" applyNumberFormat="1" applyFont="1" applyFill="1" applyBorder="1" applyAlignment="1" applyProtection="1">
      <alignment horizontal="right"/>
    </xf>
    <xf numFmtId="38" fontId="28" fillId="2" borderId="0" xfId="1" applyNumberFormat="1" applyFont="1" applyFill="1" applyBorder="1" applyAlignment="1" applyProtection="1">
      <alignment horizontal="right"/>
    </xf>
    <xf numFmtId="38" fontId="28" fillId="2" borderId="11" xfId="1" applyNumberFormat="1" applyFont="1" applyFill="1" applyBorder="1" applyAlignment="1" applyProtection="1">
      <alignment horizontal="right"/>
    </xf>
    <xf numFmtId="38" fontId="27" fillId="0" borderId="37" xfId="1" applyNumberFormat="1" applyFont="1" applyFill="1" applyBorder="1" applyAlignment="1" applyProtection="1">
      <alignment horizontal="right"/>
      <protection locked="0"/>
    </xf>
    <xf numFmtId="165" fontId="27" fillId="0" borderId="0" xfId="8" applyFont="1" applyAlignment="1" applyProtection="1">
      <alignment vertical="center"/>
      <protection locked="0"/>
    </xf>
    <xf numFmtId="38" fontId="19" fillId="0" borderId="27" xfId="1" applyNumberFormat="1" applyFont="1" applyFill="1" applyBorder="1" applyAlignment="1" applyProtection="1">
      <alignment horizontal="right"/>
    </xf>
    <xf numFmtId="38" fontId="19" fillId="0" borderId="0" xfId="1" applyNumberFormat="1" applyFont="1" applyFill="1" applyBorder="1" applyAlignment="1" applyProtection="1">
      <alignment horizontal="right"/>
    </xf>
    <xf numFmtId="167" fontId="28" fillId="0" borderId="5" xfId="1" quotePrefix="1" applyNumberFormat="1" applyFont="1" applyFill="1" applyBorder="1" applyAlignment="1" applyProtection="1">
      <alignment horizontal="center" vertical="center" wrapText="1"/>
      <protection locked="0"/>
    </xf>
    <xf numFmtId="167" fontId="24" fillId="0" borderId="12" xfId="1" applyNumberFormat="1" applyFont="1" applyFill="1" applyBorder="1" applyAlignment="1" applyProtection="1"/>
    <xf numFmtId="167" fontId="32" fillId="0" borderId="12" xfId="1" applyNumberFormat="1" applyFont="1" applyFill="1" applyBorder="1" applyAlignment="1" applyProtection="1"/>
    <xf numFmtId="38" fontId="19" fillId="0" borderId="105" xfId="1" applyNumberFormat="1" applyFont="1" applyFill="1" applyBorder="1" applyAlignment="1" applyProtection="1">
      <alignment horizontal="right"/>
      <protection locked="0"/>
    </xf>
    <xf numFmtId="38" fontId="19" fillId="0" borderId="65" xfId="1" applyNumberFormat="1" applyFont="1" applyFill="1" applyBorder="1" applyAlignment="1" applyProtection="1">
      <alignment horizontal="right"/>
      <protection locked="0"/>
    </xf>
    <xf numFmtId="38" fontId="27" fillId="0" borderId="65" xfId="1" applyNumberFormat="1" applyFont="1" applyFill="1" applyBorder="1" applyAlignment="1" applyProtection="1">
      <alignment horizontal="right"/>
      <protection locked="0"/>
    </xf>
    <xf numFmtId="38" fontId="19" fillId="0" borderId="62" xfId="1" applyNumberFormat="1" applyFont="1" applyFill="1" applyBorder="1" applyAlignment="1" applyProtection="1">
      <alignment horizontal="right"/>
      <protection locked="0"/>
    </xf>
    <xf numFmtId="38" fontId="19" fillId="2" borderId="0" xfId="1" applyNumberFormat="1" applyFont="1" applyFill="1" applyBorder="1" applyAlignment="1" applyProtection="1">
      <alignment horizontal="right"/>
      <protection locked="0"/>
    </xf>
    <xf numFmtId="38" fontId="19" fillId="0" borderId="24" xfId="1" applyNumberFormat="1" applyFont="1" applyFill="1" applyBorder="1" applyAlignment="1" applyProtection="1">
      <alignment horizontal="right"/>
    </xf>
    <xf numFmtId="165" fontId="28" fillId="0" borderId="0" xfId="8" applyFont="1" applyAlignment="1">
      <alignment vertical="center"/>
    </xf>
    <xf numFmtId="167" fontId="28" fillId="0" borderId="0" xfId="1" applyNumberFormat="1" applyFont="1" applyFill="1" applyAlignment="1" applyProtection="1">
      <alignment horizontal="center"/>
    </xf>
    <xf numFmtId="165" fontId="28" fillId="0" borderId="0" xfId="8" applyFont="1" applyAlignment="1">
      <alignment horizontal="center"/>
    </xf>
    <xf numFmtId="165" fontId="27" fillId="0" borderId="0" xfId="8" applyFont="1" applyAlignment="1">
      <alignment horizontal="center" vertical="center" wrapText="1"/>
    </xf>
    <xf numFmtId="38" fontId="27" fillId="2" borderId="37" xfId="1" applyNumberFormat="1" applyFont="1" applyFill="1" applyBorder="1" applyAlignment="1" applyProtection="1">
      <alignment horizontal="right"/>
      <protection locked="0"/>
    </xf>
    <xf numFmtId="38" fontId="27" fillId="2" borderId="0" xfId="1" applyNumberFormat="1" applyFont="1" applyFill="1" applyBorder="1" applyAlignment="1" applyProtection="1">
      <alignment horizontal="right"/>
      <protection locked="0"/>
    </xf>
    <xf numFmtId="38" fontId="27" fillId="0" borderId="24" xfId="1" applyNumberFormat="1" applyFont="1" applyFill="1" applyBorder="1" applyAlignment="1" applyProtection="1">
      <alignment horizontal="right"/>
    </xf>
    <xf numFmtId="38" fontId="27" fillId="0" borderId="12" xfId="1" applyNumberFormat="1" applyFont="1" applyFill="1" applyBorder="1" applyAlignment="1" applyProtection="1">
      <alignment horizontal="right"/>
      <protection locked="0"/>
    </xf>
    <xf numFmtId="167" fontId="27" fillId="0" borderId="0" xfId="1" applyNumberFormat="1" applyFont="1" applyFill="1" applyAlignment="1" applyProtection="1">
      <alignment horizontal="center"/>
    </xf>
    <xf numFmtId="174" fontId="27" fillId="0" borderId="0" xfId="8" applyNumberFormat="1" applyFont="1"/>
    <xf numFmtId="165" fontId="29" fillId="0" borderId="0" xfId="8" applyFont="1" applyAlignment="1">
      <alignment horizontal="center"/>
    </xf>
    <xf numFmtId="165" fontId="33" fillId="0" borderId="46" xfId="8" applyFont="1" applyBorder="1" applyProtection="1">
      <protection locked="0"/>
    </xf>
    <xf numFmtId="0" fontId="38" fillId="2" borderId="2" xfId="22" applyFont="1" applyFill="1" applyBorder="1" applyAlignment="1">
      <alignment horizontal="right" vertical="center" wrapText="1"/>
    </xf>
    <xf numFmtId="174" fontId="28" fillId="2" borderId="6" xfId="42" applyNumberFormat="1" applyFont="1" applyFill="1" applyBorder="1"/>
    <xf numFmtId="0" fontId="38" fillId="2" borderId="44" xfId="22" applyFont="1" applyFill="1" applyBorder="1" applyAlignment="1">
      <alignment horizontal="right" vertical="center" wrapText="1"/>
    </xf>
    <xf numFmtId="174" fontId="28" fillId="2" borderId="71" xfId="42" applyNumberFormat="1" applyFont="1" applyFill="1" applyBorder="1"/>
    <xf numFmtId="0" fontId="38" fillId="2" borderId="48" xfId="22" applyFont="1" applyFill="1" applyBorder="1" applyAlignment="1">
      <alignment horizontal="right" vertical="center" wrapText="1"/>
    </xf>
    <xf numFmtId="0" fontId="28" fillId="2" borderId="49" xfId="22" applyFont="1" applyFill="1" applyBorder="1" applyAlignment="1">
      <alignment horizontal="right" vertical="center" wrapText="1"/>
    </xf>
    <xf numFmtId="174" fontId="28" fillId="2" borderId="76" xfId="42" applyNumberFormat="1" applyFont="1" applyFill="1" applyBorder="1"/>
    <xf numFmtId="174" fontId="27" fillId="0" borderId="0" xfId="0" applyNumberFormat="1" applyFont="1"/>
    <xf numFmtId="174" fontId="19" fillId="22" borderId="11" xfId="27" applyNumberFormat="1" applyFont="1" applyFill="1" applyBorder="1" applyProtection="1">
      <protection locked="0"/>
    </xf>
    <xf numFmtId="174" fontId="19" fillId="22" borderId="6" xfId="27" applyNumberFormat="1" applyFont="1" applyFill="1" applyBorder="1" applyProtection="1">
      <protection locked="0"/>
    </xf>
    <xf numFmtId="0" fontId="38" fillId="2" borderId="9" xfId="22" applyFont="1" applyFill="1" applyBorder="1" applyAlignment="1">
      <alignment horizontal="right" vertical="center" wrapText="1"/>
    </xf>
    <xf numFmtId="0" fontId="28" fillId="0" borderId="0" xfId="21" applyFont="1"/>
    <xf numFmtId="14" fontId="28" fillId="0" borderId="0" xfId="21" applyNumberFormat="1" applyFont="1" applyAlignment="1">
      <alignment horizontal="left"/>
    </xf>
    <xf numFmtId="165" fontId="27" fillId="0" borderId="0" xfId="8" applyFont="1" applyAlignment="1">
      <alignment horizontal="center"/>
    </xf>
    <xf numFmtId="0" fontId="28" fillId="0" borderId="71" xfId="7" applyFont="1" applyBorder="1" applyAlignment="1">
      <alignment horizontal="left"/>
    </xf>
    <xf numFmtId="38" fontId="19" fillId="3" borderId="57" xfId="27" applyNumberFormat="1" applyFont="1" applyFill="1" applyBorder="1" applyProtection="1">
      <protection locked="0"/>
    </xf>
    <xf numFmtId="38" fontId="19" fillId="3" borderId="89" xfId="27" applyNumberFormat="1" applyFont="1" applyFill="1" applyBorder="1" applyProtection="1">
      <protection locked="0"/>
    </xf>
    <xf numFmtId="38" fontId="19" fillId="3" borderId="61" xfId="27" applyNumberFormat="1" applyFont="1" applyFill="1" applyBorder="1" applyProtection="1">
      <protection locked="0"/>
    </xf>
    <xf numFmtId="38" fontId="19" fillId="3" borderId="58" xfId="27" applyNumberFormat="1" applyFont="1" applyFill="1" applyBorder="1" applyProtection="1">
      <protection locked="0"/>
    </xf>
    <xf numFmtId="38" fontId="19" fillId="17" borderId="13" xfId="27" applyNumberFormat="1" applyFont="1" applyFill="1" applyBorder="1" applyProtection="1">
      <protection locked="0"/>
    </xf>
    <xf numFmtId="38" fontId="28" fillId="6" borderId="71" xfId="27" applyNumberFormat="1" applyFont="1" applyFill="1" applyBorder="1"/>
    <xf numFmtId="0" fontId="28" fillId="0" borderId="74" xfId="7" applyFont="1" applyBorder="1" applyAlignment="1">
      <alignment horizontal="left"/>
    </xf>
    <xf numFmtId="38" fontId="27" fillId="17" borderId="5" xfId="27" applyNumberFormat="1" applyFont="1" applyFill="1" applyBorder="1" applyProtection="1">
      <protection locked="0"/>
    </xf>
    <xf numFmtId="38" fontId="19" fillId="3" borderId="10" xfId="27" applyNumberFormat="1" applyFont="1" applyFill="1" applyBorder="1" applyProtection="1">
      <protection locked="0"/>
    </xf>
    <xf numFmtId="38" fontId="19" fillId="3" borderId="31" xfId="27" applyNumberFormat="1" applyFont="1" applyFill="1" applyBorder="1" applyProtection="1">
      <protection locked="0"/>
    </xf>
    <xf numFmtId="38" fontId="19" fillId="17" borderId="11" xfId="27" applyNumberFormat="1" applyFont="1" applyFill="1" applyBorder="1" applyProtection="1">
      <protection locked="0"/>
    </xf>
    <xf numFmtId="38" fontId="28" fillId="6" borderId="74" xfId="27" applyNumberFormat="1" applyFont="1" applyFill="1" applyBorder="1"/>
    <xf numFmtId="38" fontId="27" fillId="17" borderId="0" xfId="27" applyNumberFormat="1" applyFont="1" applyFill="1" applyBorder="1" applyProtection="1">
      <protection locked="0"/>
    </xf>
    <xf numFmtId="38" fontId="27" fillId="17" borderId="3" xfId="27" applyNumberFormat="1" applyFont="1" applyFill="1" applyBorder="1" applyProtection="1">
      <protection locked="0"/>
    </xf>
    <xf numFmtId="0" fontId="28" fillId="0" borderId="76" xfId="7" applyFont="1" applyBorder="1" applyAlignment="1">
      <alignment horizontal="left"/>
    </xf>
    <xf numFmtId="38" fontId="27" fillId="17" borderId="9" xfId="27" applyNumberFormat="1" applyFont="1" applyFill="1" applyBorder="1" applyProtection="1">
      <protection locked="0"/>
    </xf>
    <xf numFmtId="38" fontId="27" fillId="17" borderId="7" xfId="27" applyNumberFormat="1" applyFont="1" applyFill="1" applyBorder="1" applyProtection="1">
      <protection locked="0"/>
    </xf>
    <xf numFmtId="38" fontId="19" fillId="3" borderId="101" xfId="27" applyNumberFormat="1" applyFont="1" applyFill="1" applyBorder="1" applyProtection="1">
      <protection locked="0"/>
    </xf>
    <xf numFmtId="38" fontId="19" fillId="17" borderId="6" xfId="27" applyNumberFormat="1" applyFont="1" applyFill="1" applyBorder="1" applyProtection="1">
      <protection locked="0"/>
    </xf>
    <xf numFmtId="38" fontId="28" fillId="6" borderId="76" xfId="27" applyNumberFormat="1" applyFont="1" applyFill="1" applyBorder="1"/>
    <xf numFmtId="0" fontId="28" fillId="0" borderId="13" xfId="7" applyFont="1" applyBorder="1" applyAlignment="1">
      <alignment horizontal="left"/>
    </xf>
    <xf numFmtId="38" fontId="27" fillId="17" borderId="99" xfId="27" applyNumberFormat="1" applyFont="1" applyFill="1" applyBorder="1" applyProtection="1">
      <protection locked="0"/>
    </xf>
    <xf numFmtId="0" fontId="27" fillId="0" borderId="0" xfId="7" applyFont="1"/>
    <xf numFmtId="0" fontId="28" fillId="6" borderId="74" xfId="7" applyFont="1" applyFill="1" applyBorder="1" applyAlignment="1">
      <alignment horizontal="left"/>
    </xf>
    <xf numFmtId="38" fontId="28" fillId="6" borderId="32" xfId="27" applyNumberFormat="1" applyFont="1" applyFill="1" applyBorder="1"/>
    <xf numFmtId="38" fontId="28" fillId="6" borderId="10" xfId="27" applyNumberFormat="1" applyFont="1" applyFill="1" applyBorder="1"/>
    <xf numFmtId="38" fontId="28" fillId="6" borderId="31" xfId="27" applyNumberFormat="1" applyFont="1" applyFill="1" applyBorder="1"/>
    <xf numFmtId="38" fontId="19" fillId="3" borderId="74" xfId="7" applyNumberFormat="1" applyFont="1" applyFill="1" applyBorder="1"/>
    <xf numFmtId="38" fontId="19" fillId="23" borderId="32" xfId="7" applyNumberFormat="1" applyFont="1" applyFill="1" applyBorder="1"/>
    <xf numFmtId="38" fontId="19" fillId="3" borderId="10" xfId="7" applyNumberFormat="1" applyFont="1" applyFill="1" applyBorder="1"/>
    <xf numFmtId="38" fontId="19" fillId="3" borderId="31" xfId="7" applyNumberFormat="1" applyFont="1" applyFill="1" applyBorder="1"/>
    <xf numFmtId="38" fontId="27" fillId="17" borderId="98" xfId="27" applyNumberFormat="1" applyFont="1" applyFill="1" applyBorder="1" applyProtection="1">
      <protection locked="0"/>
    </xf>
    <xf numFmtId="38" fontId="27" fillId="17" borderId="11" xfId="27" applyNumberFormat="1" applyFont="1" applyFill="1" applyBorder="1" applyProtection="1">
      <protection locked="0"/>
    </xf>
    <xf numFmtId="38" fontId="27" fillId="6" borderId="74" xfId="27" applyNumberFormat="1" applyFont="1" applyFill="1" applyBorder="1"/>
    <xf numFmtId="38" fontId="19" fillId="3" borderId="32" xfId="7" applyNumberFormat="1" applyFont="1" applyFill="1" applyBorder="1"/>
    <xf numFmtId="38" fontId="28" fillId="6" borderId="32" xfId="7" applyNumberFormat="1" applyFont="1" applyFill="1" applyBorder="1"/>
    <xf numFmtId="38" fontId="28" fillId="6" borderId="10" xfId="7" applyNumberFormat="1" applyFont="1" applyFill="1" applyBorder="1"/>
    <xf numFmtId="38" fontId="28" fillId="6" borderId="31" xfId="7" applyNumberFormat="1" applyFont="1" applyFill="1" applyBorder="1"/>
    <xf numFmtId="0" fontId="28" fillId="6" borderId="76" xfId="7" applyFont="1" applyFill="1" applyBorder="1" applyAlignment="1">
      <alignment horizontal="left"/>
    </xf>
    <xf numFmtId="38" fontId="28" fillId="6" borderId="90" xfId="27" applyNumberFormat="1" applyFont="1" applyFill="1" applyBorder="1"/>
    <xf numFmtId="38" fontId="28" fillId="6" borderId="77" xfId="27" applyNumberFormat="1" applyFont="1" applyFill="1" applyBorder="1"/>
    <xf numFmtId="0" fontId="27" fillId="0" borderId="0" xfId="11" applyFont="1"/>
    <xf numFmtId="42" fontId="27" fillId="0" borderId="0" xfId="11" applyNumberFormat="1" applyFont="1"/>
    <xf numFmtId="0" fontId="44" fillId="0" borderId="0" xfId="11" applyFont="1"/>
    <xf numFmtId="165" fontId="27" fillId="0" borderId="4" xfId="8" applyFont="1" applyBorder="1" applyAlignment="1">
      <alignment horizontal="center"/>
    </xf>
    <xf numFmtId="165" fontId="27" fillId="0" borderId="4" xfId="8" applyFont="1" applyBorder="1"/>
    <xf numFmtId="174" fontId="27" fillId="0" borderId="12" xfId="2" applyNumberFormat="1" applyFont="1" applyFill="1" applyBorder="1"/>
    <xf numFmtId="168" fontId="27" fillId="0" borderId="0" xfId="8" applyNumberFormat="1" applyFont="1"/>
    <xf numFmtId="174" fontId="28" fillId="2" borderId="47" xfId="1" applyNumberFormat="1" applyFont="1" applyFill="1" applyBorder="1"/>
    <xf numFmtId="174" fontId="28" fillId="0" borderId="12" xfId="1" applyNumberFormat="1" applyFont="1" applyFill="1" applyBorder="1"/>
    <xf numFmtId="174" fontId="27" fillId="0" borderId="12" xfId="1" applyNumberFormat="1" applyFont="1" applyFill="1" applyBorder="1"/>
    <xf numFmtId="174" fontId="28" fillId="2" borderId="54" xfId="1" applyNumberFormat="1" applyFont="1" applyFill="1" applyBorder="1"/>
    <xf numFmtId="174" fontId="27" fillId="0" borderId="14" xfId="8" applyNumberFormat="1" applyFont="1" applyBorder="1"/>
    <xf numFmtId="174" fontId="27" fillId="0" borderId="42" xfId="2" applyNumberFormat="1" applyFont="1" applyFill="1" applyBorder="1"/>
    <xf numFmtId="174" fontId="28" fillId="2" borderId="8" xfId="1" applyNumberFormat="1" applyFont="1" applyFill="1" applyBorder="1"/>
    <xf numFmtId="165" fontId="29" fillId="0" borderId="0" xfId="8" applyFont="1" applyAlignment="1">
      <alignment horizontal="left"/>
    </xf>
    <xf numFmtId="174" fontId="28" fillId="2" borderId="17" xfId="42" applyNumberFormat="1" applyFont="1" applyFill="1" applyBorder="1" applyAlignment="1">
      <alignment horizontal="right" vertical="center"/>
    </xf>
    <xf numFmtId="0" fontId="27" fillId="0" borderId="0" xfId="4" applyFont="1"/>
    <xf numFmtId="174" fontId="27" fillId="0" borderId="0" xfId="4" applyNumberFormat="1" applyFont="1"/>
    <xf numFmtId="0" fontId="27" fillId="22" borderId="13" xfId="4" applyFont="1" applyFill="1" applyBorder="1"/>
    <xf numFmtId="0" fontId="27" fillId="22" borderId="11" xfId="4" applyFont="1" applyFill="1" applyBorder="1"/>
    <xf numFmtId="0" fontId="27" fillId="22" borderId="6" xfId="4" applyFont="1" applyFill="1" applyBorder="1"/>
    <xf numFmtId="174" fontId="20" fillId="2" borderId="17" xfId="42" applyNumberFormat="1" applyFont="1" applyFill="1" applyBorder="1" applyAlignment="1">
      <alignment vertical="center"/>
    </xf>
    <xf numFmtId="0" fontId="38" fillId="2" borderId="2" xfId="0" applyFont="1" applyFill="1" applyBorder="1" applyAlignment="1">
      <alignment horizontal="right" vertical="center" wrapText="1"/>
    </xf>
    <xf numFmtId="0" fontId="28" fillId="2" borderId="18" xfId="0" applyFont="1" applyFill="1" applyBorder="1" applyAlignment="1">
      <alignment horizontal="right" vertical="center" wrapText="1"/>
    </xf>
    <xf numFmtId="0" fontId="38" fillId="2" borderId="44" xfId="0" applyFont="1" applyFill="1" applyBorder="1" applyAlignment="1">
      <alignment horizontal="right" vertical="center" wrapText="1"/>
    </xf>
    <xf numFmtId="174" fontId="28" fillId="2" borderId="71" xfId="42" applyNumberFormat="1" applyFont="1" applyFill="1" applyBorder="1" applyAlignment="1">
      <alignment horizontal="right" vertical="center"/>
    </xf>
    <xf numFmtId="0" fontId="38" fillId="2" borderId="48" xfId="0" applyFont="1" applyFill="1" applyBorder="1" applyAlignment="1">
      <alignment horizontal="right" vertical="center" wrapText="1"/>
    </xf>
    <xf numFmtId="174" fontId="20" fillId="2" borderId="6" xfId="0" applyNumberFormat="1" applyFont="1" applyFill="1" applyBorder="1" applyAlignment="1">
      <alignment vertical="center"/>
    </xf>
    <xf numFmtId="0" fontId="28" fillId="2" borderId="2" xfId="0" applyFont="1" applyFill="1" applyBorder="1" applyAlignment="1">
      <alignment horizontal="right" vertical="center" wrapText="1"/>
    </xf>
    <xf numFmtId="173" fontId="28" fillId="2" borderId="17" xfId="42" applyNumberFormat="1" applyFont="1" applyFill="1" applyBorder="1" applyAlignment="1" applyProtection="1">
      <alignment vertical="center"/>
    </xf>
    <xf numFmtId="174" fontId="20" fillId="2" borderId="17" xfId="42" applyNumberFormat="1" applyFont="1" applyFill="1" applyBorder="1" applyAlignment="1">
      <alignment horizontal="right" vertical="center"/>
    </xf>
    <xf numFmtId="174" fontId="20" fillId="2" borderId="6" xfId="0" applyNumberFormat="1" applyFont="1" applyFill="1" applyBorder="1"/>
    <xf numFmtId="0" fontId="28" fillId="0" borderId="0" xfId="0" applyFont="1" applyProtection="1">
      <protection locked="0"/>
    </xf>
    <xf numFmtId="42" fontId="27" fillId="0" borderId="0" xfId="0" applyNumberFormat="1" applyFont="1"/>
    <xf numFmtId="0" fontId="27" fillId="22" borderId="13" xfId="0" applyFont="1" applyFill="1" applyBorder="1"/>
    <xf numFmtId="0" fontId="27" fillId="22" borderId="11" xfId="0" applyFont="1" applyFill="1" applyBorder="1"/>
    <xf numFmtId="0" fontId="27" fillId="22" borderId="6" xfId="0" applyFont="1" applyFill="1" applyBorder="1"/>
    <xf numFmtId="0" fontId="27" fillId="0" borderId="0" xfId="10" applyFont="1"/>
    <xf numFmtId="0" fontId="28" fillId="0" borderId="0" xfId="21" applyFont="1" applyAlignment="1" applyProtection="1">
      <alignment horizontal="right"/>
      <protection locked="0"/>
    </xf>
    <xf numFmtId="14" fontId="28" fillId="0" borderId="0" xfId="11" applyNumberFormat="1" applyFont="1" applyAlignment="1">
      <alignment horizontal="center"/>
    </xf>
    <xf numFmtId="14" fontId="28" fillId="0" borderId="0" xfId="21" applyNumberFormat="1" applyFont="1" applyAlignment="1" applyProtection="1">
      <alignment horizontal="left"/>
      <protection locked="0"/>
    </xf>
    <xf numFmtId="0" fontId="29" fillId="0" borderId="0" xfId="11" applyFont="1"/>
    <xf numFmtId="0" fontId="28" fillId="0" borderId="0" xfId="10" applyFont="1"/>
    <xf numFmtId="14" fontId="47" fillId="0" borderId="0" xfId="10" applyNumberFormat="1" applyFont="1" applyAlignment="1">
      <alignment horizontal="center"/>
    </xf>
    <xf numFmtId="0" fontId="31" fillId="0" borderId="15" xfId="10" applyFont="1" applyBorder="1" applyAlignment="1">
      <alignment horizontal="left" indent="2"/>
    </xf>
    <xf numFmtId="174" fontId="19" fillId="0" borderId="13" xfId="11" applyNumberFormat="1" applyFont="1" applyBorder="1" applyAlignment="1">
      <alignment horizontal="right"/>
    </xf>
    <xf numFmtId="0" fontId="28" fillId="0" borderId="0" xfId="11" applyFont="1"/>
    <xf numFmtId="0" fontId="31" fillId="0" borderId="5" xfId="10" applyFont="1" applyBorder="1" applyAlignment="1">
      <alignment horizontal="left" indent="2"/>
    </xf>
    <xf numFmtId="174" fontId="19" fillId="0" borderId="11" xfId="11" applyNumberFormat="1" applyFont="1" applyBorder="1" applyAlignment="1">
      <alignment horizontal="right"/>
    </xf>
    <xf numFmtId="0" fontId="31" fillId="0" borderId="43" xfId="10" applyFont="1" applyBorder="1" applyAlignment="1">
      <alignment horizontal="left" indent="2"/>
    </xf>
    <xf numFmtId="0" fontId="28" fillId="21" borderId="46" xfId="10" applyFont="1" applyFill="1" applyBorder="1" applyAlignment="1">
      <alignment horizontal="left"/>
    </xf>
    <xf numFmtId="174" fontId="28" fillId="21" borderId="74" xfId="11" applyNumberFormat="1" applyFont="1" applyFill="1" applyBorder="1" applyAlignment="1">
      <alignment horizontal="right"/>
    </xf>
    <xf numFmtId="0" fontId="28" fillId="0" borderId="5" xfId="10" applyFont="1" applyBorder="1" applyAlignment="1">
      <alignment horizontal="left"/>
    </xf>
    <xf numFmtId="174" fontId="29" fillId="0" borderId="11" xfId="11" applyNumberFormat="1" applyFont="1" applyBorder="1" applyAlignment="1">
      <alignment horizontal="right"/>
    </xf>
    <xf numFmtId="0" fontId="27" fillId="0" borderId="0" xfId="10" quotePrefix="1" applyFont="1"/>
    <xf numFmtId="0" fontId="27" fillId="0" borderId="0" xfId="10" applyFont="1" applyAlignment="1">
      <alignment horizontal="right"/>
    </xf>
    <xf numFmtId="0" fontId="31" fillId="0" borderId="13" xfId="10" applyFont="1" applyBorder="1" applyAlignment="1">
      <alignment horizontal="left" indent="1"/>
    </xf>
    <xf numFmtId="0" fontId="31" fillId="0" borderId="11" xfId="10" applyFont="1" applyBorder="1" applyAlignment="1">
      <alignment horizontal="left" indent="1"/>
    </xf>
    <xf numFmtId="0" fontId="31" fillId="0" borderId="99" xfId="10" applyFont="1" applyBorder="1" applyAlignment="1">
      <alignment horizontal="left" indent="1"/>
    </xf>
    <xf numFmtId="174" fontId="19" fillId="0" borderId="99" xfId="11" applyNumberFormat="1" applyFont="1" applyBorder="1" applyAlignment="1">
      <alignment horizontal="right"/>
    </xf>
    <xf numFmtId="0" fontId="28" fillId="21" borderId="74" xfId="10" applyFont="1" applyFill="1" applyBorder="1" applyAlignment="1">
      <alignment horizontal="left"/>
    </xf>
    <xf numFmtId="0" fontId="27" fillId="0" borderId="98" xfId="10" applyFont="1" applyBorder="1" applyAlignment="1">
      <alignment horizontal="left"/>
    </xf>
    <xf numFmtId="37" fontId="19" fillId="0" borderId="98" xfId="11" applyNumberFormat="1" applyFont="1" applyBorder="1" applyAlignment="1">
      <alignment horizontal="right"/>
    </xf>
    <xf numFmtId="174" fontId="20" fillId="0" borderId="11" xfId="11" applyNumberFormat="1" applyFont="1" applyBorder="1" applyAlignment="1">
      <alignment horizontal="right"/>
    </xf>
    <xf numFmtId="0" fontId="43" fillId="21" borderId="46" xfId="10" applyFont="1" applyFill="1" applyBorder="1" applyAlignment="1">
      <alignment horizontal="left"/>
    </xf>
    <xf numFmtId="0" fontId="31" fillId="0" borderId="5" xfId="10" applyFont="1" applyBorder="1" applyAlignment="1">
      <alignment horizontal="left" indent="1"/>
    </xf>
    <xf numFmtId="0" fontId="44" fillId="7" borderId="5" xfId="10" applyFont="1" applyFill="1" applyBorder="1" applyAlignment="1">
      <alignment horizontal="left" indent="1"/>
    </xf>
    <xf numFmtId="0" fontId="43" fillId="21" borderId="52" xfId="10" applyFont="1" applyFill="1" applyBorder="1" applyAlignment="1">
      <alignment horizontal="left"/>
    </xf>
    <xf numFmtId="0" fontId="3" fillId="0" borderId="0" xfId="29" applyFont="1"/>
    <xf numFmtId="0" fontId="28" fillId="0" borderId="0" xfId="21" applyFont="1" applyAlignment="1" applyProtection="1">
      <alignment horizontal="center"/>
      <protection locked="0"/>
    </xf>
    <xf numFmtId="0" fontId="3" fillId="0" borderId="0" xfId="29" applyFont="1" applyAlignment="1">
      <alignment horizontal="center"/>
    </xf>
    <xf numFmtId="0" fontId="28" fillId="0" borderId="0" xfId="21" applyFont="1" applyAlignment="1" applyProtection="1">
      <alignment horizontal="left"/>
      <protection locked="0"/>
    </xf>
    <xf numFmtId="0" fontId="28" fillId="0" borderId="0" xfId="21" applyFont="1" applyAlignment="1" applyProtection="1">
      <alignment horizontal="left" indent="1"/>
      <protection locked="0"/>
    </xf>
    <xf numFmtId="0" fontId="28" fillId="0" borderId="0" xfId="31" applyFont="1" applyAlignment="1" applyProtection="1">
      <alignment horizontal="center"/>
      <protection locked="0"/>
    </xf>
    <xf numFmtId="0" fontId="28" fillId="0" borderId="0" xfId="31" applyFont="1"/>
    <xf numFmtId="0" fontId="27" fillId="0" borderId="15" xfId="31" applyFont="1" applyBorder="1" applyAlignment="1">
      <alignment horizontal="center"/>
    </xf>
    <xf numFmtId="0" fontId="28" fillId="0" borderId="4" xfId="31" applyFont="1" applyBorder="1"/>
    <xf numFmtId="37" fontId="33" fillId="0" borderId="14" xfId="31" applyNumberFormat="1" applyFont="1" applyBorder="1"/>
    <xf numFmtId="0" fontId="27" fillId="0" borderId="5" xfId="31" applyFont="1" applyBorder="1" applyAlignment="1">
      <alignment horizontal="center"/>
    </xf>
    <xf numFmtId="0" fontId="28" fillId="0" borderId="0" xfId="31" applyFont="1" applyAlignment="1">
      <alignment horizontal="center"/>
    </xf>
    <xf numFmtId="37" fontId="33" fillId="0" borderId="12" xfId="31" applyNumberFormat="1" applyFont="1" applyBorder="1"/>
    <xf numFmtId="0" fontId="28" fillId="0" borderId="5" xfId="31" applyFont="1" applyBorder="1" applyAlignment="1">
      <alignment horizontal="center"/>
    </xf>
    <xf numFmtId="37" fontId="27" fillId="0" borderId="12" xfId="1" applyNumberFormat="1" applyFont="1" applyBorder="1"/>
    <xf numFmtId="165" fontId="32" fillId="0" borderId="5" xfId="8" applyFont="1" applyBorder="1" applyAlignment="1">
      <alignment horizontal="left"/>
    </xf>
    <xf numFmtId="37" fontId="27" fillId="0" borderId="12" xfId="1" applyNumberFormat="1" applyFont="1" applyBorder="1" applyProtection="1">
      <protection locked="0"/>
    </xf>
    <xf numFmtId="0" fontId="20" fillId="0" borderId="12" xfId="32" applyFont="1" applyBorder="1" applyAlignment="1">
      <alignment horizontal="center"/>
    </xf>
    <xf numFmtId="37" fontId="27" fillId="0" borderId="8" xfId="1" applyNumberFormat="1" applyFont="1" applyBorder="1"/>
    <xf numFmtId="0" fontId="20" fillId="0" borderId="8" xfId="32" applyFont="1" applyBorder="1" applyAlignment="1">
      <alignment horizontal="center"/>
    </xf>
    <xf numFmtId="165" fontId="28" fillId="4" borderId="2" xfId="8" applyFont="1" applyFill="1" applyBorder="1" applyAlignment="1">
      <alignment horizontal="center"/>
    </xf>
    <xf numFmtId="165" fontId="32" fillId="4" borderId="1" xfId="8" quotePrefix="1" applyFont="1" applyFill="1" applyBorder="1" applyAlignment="1">
      <alignment horizontal="left"/>
    </xf>
    <xf numFmtId="37" fontId="28" fillId="4" borderId="1" xfId="1" applyNumberFormat="1" applyFont="1" applyFill="1" applyBorder="1"/>
    <xf numFmtId="0" fontId="28" fillId="4" borderId="2" xfId="2" applyNumberFormat="1" applyFont="1" applyFill="1" applyBorder="1" applyAlignment="1">
      <alignment horizontal="center"/>
    </xf>
    <xf numFmtId="164" fontId="32" fillId="4" borderId="1" xfId="2" applyNumberFormat="1" applyFont="1" applyFill="1" applyBorder="1" applyAlignment="1" applyProtection="1">
      <alignment horizontal="left"/>
    </xf>
    <xf numFmtId="164" fontId="28" fillId="4" borderId="2" xfId="2" applyNumberFormat="1" applyFont="1" applyFill="1" applyBorder="1" applyAlignment="1">
      <alignment horizontal="center"/>
    </xf>
    <xf numFmtId="37" fontId="28" fillId="2" borderId="12" xfId="1" applyNumberFormat="1" applyFont="1" applyFill="1" applyBorder="1"/>
    <xf numFmtId="0" fontId="20" fillId="22" borderId="12" xfId="32" applyFont="1" applyFill="1" applyBorder="1" applyAlignment="1">
      <alignment horizontal="center"/>
    </xf>
    <xf numFmtId="165" fontId="28" fillId="0" borderId="5" xfId="8" applyFont="1" applyBorder="1" applyAlignment="1">
      <alignment horizontal="left"/>
    </xf>
    <xf numFmtId="165" fontId="28" fillId="4" borderId="1" xfId="8" applyFont="1" applyFill="1" applyBorder="1" applyAlignment="1">
      <alignment horizontal="left"/>
    </xf>
    <xf numFmtId="37" fontId="27" fillId="0" borderId="14" xfId="1" applyNumberFormat="1" applyFont="1" applyBorder="1"/>
    <xf numFmtId="167" fontId="27" fillId="0" borderId="5" xfId="1" applyNumberFormat="1" applyFont="1" applyFill="1" applyBorder="1" applyAlignment="1">
      <alignment horizontal="center"/>
    </xf>
    <xf numFmtId="164" fontId="33" fillId="0" borderId="12" xfId="2" applyNumberFormat="1" applyFont="1" applyFill="1" applyBorder="1" applyAlignment="1" applyProtection="1"/>
    <xf numFmtId="37" fontId="28" fillId="6" borderId="1" xfId="1" applyNumberFormat="1" applyFont="1" applyFill="1" applyBorder="1"/>
    <xf numFmtId="0" fontId="44" fillId="0" borderId="0" xfId="0" applyFont="1" applyAlignment="1">
      <alignment horizontal="left"/>
    </xf>
    <xf numFmtId="0" fontId="28" fillId="0" borderId="17" xfId="0" applyFont="1" applyBorder="1" applyAlignment="1">
      <alignment horizontal="center" vertical="center"/>
    </xf>
    <xf numFmtId="0" fontId="28" fillId="0" borderId="0" xfId="21" applyFont="1" applyAlignment="1" applyProtection="1">
      <alignment horizontal="left" indent="2"/>
      <protection locked="0"/>
    </xf>
    <xf numFmtId="0" fontId="48" fillId="0" borderId="4" xfId="29" applyFont="1" applyBorder="1" applyProtection="1">
      <protection locked="0"/>
    </xf>
    <xf numFmtId="0" fontId="48" fillId="0" borderId="0" xfId="29" applyFont="1" applyProtection="1">
      <protection locked="0"/>
    </xf>
    <xf numFmtId="0" fontId="32" fillId="0" borderId="0" xfId="29" applyFont="1" applyProtection="1">
      <protection locked="0"/>
    </xf>
    <xf numFmtId="37" fontId="27" fillId="0" borderId="37" xfId="29" applyNumberFormat="1" applyFont="1" applyBorder="1" applyAlignment="1" applyProtection="1">
      <alignment horizontal="right"/>
      <protection locked="0"/>
    </xf>
    <xf numFmtId="37" fontId="27" fillId="0" borderId="12" xfId="29" applyNumberFormat="1" applyFont="1" applyBorder="1"/>
    <xf numFmtId="0" fontId="20" fillId="0" borderId="12" xfId="29" applyFont="1" applyBorder="1" applyAlignment="1">
      <alignment horizontal="center"/>
    </xf>
    <xf numFmtId="0" fontId="27" fillId="0" borderId="0" xfId="0" applyFont="1" applyAlignment="1" applyProtection="1">
      <alignment vertical="center"/>
      <protection locked="0"/>
    </xf>
    <xf numFmtId="0" fontId="28" fillId="6" borderId="2" xfId="0" quotePrefix="1" applyFont="1" applyFill="1" applyBorder="1" applyAlignment="1">
      <alignment horizontal="center"/>
    </xf>
    <xf numFmtId="0" fontId="28" fillId="6" borderId="18" xfId="0" applyFont="1" applyFill="1" applyBorder="1" applyProtection="1">
      <protection locked="0"/>
    </xf>
    <xf numFmtId="37" fontId="28" fillId="6" borderId="24" xfId="29" applyNumberFormat="1" applyFont="1" applyFill="1" applyBorder="1" applyAlignment="1">
      <alignment horizontal="right"/>
    </xf>
    <xf numFmtId="37" fontId="28" fillId="6" borderId="1" xfId="29" applyNumberFormat="1" applyFont="1" applyFill="1" applyBorder="1"/>
    <xf numFmtId="0" fontId="20" fillId="22" borderId="1" xfId="29" applyFont="1" applyFill="1" applyBorder="1" applyAlignment="1">
      <alignment horizontal="center"/>
    </xf>
    <xf numFmtId="37" fontId="27" fillId="0" borderId="12" xfId="29" applyNumberFormat="1" applyFont="1" applyBorder="1" applyProtection="1">
      <protection locked="0"/>
    </xf>
    <xf numFmtId="0" fontId="28" fillId="6" borderId="2" xfId="0" applyFont="1" applyFill="1" applyBorder="1" applyAlignment="1">
      <alignment horizontal="center"/>
    </xf>
    <xf numFmtId="37" fontId="27" fillId="21" borderId="38" xfId="29" applyNumberFormat="1" applyFont="1" applyFill="1" applyBorder="1" applyAlignment="1">
      <alignment horizontal="right"/>
    </xf>
    <xf numFmtId="37" fontId="27" fillId="21" borderId="47" xfId="29" applyNumberFormat="1" applyFont="1" applyFill="1" applyBorder="1"/>
    <xf numFmtId="0" fontId="20" fillId="22" borderId="47" xfId="29" applyFont="1" applyFill="1" applyBorder="1" applyAlignment="1">
      <alignment horizontal="center"/>
    </xf>
    <xf numFmtId="0" fontId="20" fillId="22" borderId="12" xfId="29" applyFont="1" applyFill="1" applyBorder="1" applyAlignment="1">
      <alignment horizontal="center"/>
    </xf>
    <xf numFmtId="37" fontId="27" fillId="2" borderId="38" xfId="29" applyNumberFormat="1" applyFont="1" applyFill="1" applyBorder="1" applyAlignment="1">
      <alignment horizontal="right"/>
    </xf>
    <xf numFmtId="37" fontId="27" fillId="2" borderId="47" xfId="29" applyNumberFormat="1" applyFont="1" applyFill="1" applyBorder="1"/>
    <xf numFmtId="0" fontId="20" fillId="22" borderId="42" xfId="29" applyFont="1" applyFill="1" applyBorder="1" applyAlignment="1">
      <alignment horizontal="center"/>
    </xf>
    <xf numFmtId="0" fontId="32" fillId="6" borderId="44" xfId="0" applyFont="1" applyFill="1" applyBorder="1" applyAlignment="1">
      <alignment horizontal="center"/>
    </xf>
    <xf numFmtId="0" fontId="32" fillId="6" borderId="45" xfId="0" applyFont="1" applyFill="1" applyBorder="1" applyProtection="1">
      <protection locked="0"/>
    </xf>
    <xf numFmtId="37" fontId="28" fillId="6" borderId="57" xfId="29" applyNumberFormat="1" applyFont="1" applyFill="1" applyBorder="1" applyAlignment="1">
      <alignment horizontal="right"/>
    </xf>
    <xf numFmtId="37" fontId="28" fillId="6" borderId="51" xfId="29" applyNumberFormat="1" applyFont="1" applyFill="1" applyBorder="1"/>
    <xf numFmtId="0" fontId="20" fillId="6" borderId="51" xfId="29" applyFont="1" applyFill="1" applyBorder="1" applyAlignment="1">
      <alignment horizontal="center"/>
    </xf>
    <xf numFmtId="0" fontId="32" fillId="6" borderId="9" xfId="0" applyFont="1" applyFill="1" applyBorder="1" applyAlignment="1">
      <alignment horizontal="center"/>
    </xf>
    <xf numFmtId="0" fontId="32" fillId="6" borderId="7" xfId="0" applyFont="1" applyFill="1" applyBorder="1" applyProtection="1">
      <protection locked="0"/>
    </xf>
    <xf numFmtId="37" fontId="28" fillId="6" borderId="62" xfId="29" applyNumberFormat="1" applyFont="1" applyFill="1" applyBorder="1" applyAlignment="1">
      <alignment horizontal="right"/>
    </xf>
    <xf numFmtId="37" fontId="28" fillId="6" borderId="8" xfId="29" applyNumberFormat="1" applyFont="1" applyFill="1" applyBorder="1"/>
    <xf numFmtId="0" fontId="20" fillId="6" borderId="8" xfId="29" applyFont="1" applyFill="1" applyBorder="1" applyAlignment="1">
      <alignment horizontal="center"/>
    </xf>
    <xf numFmtId="0" fontId="44" fillId="0" borderId="0" xfId="0" applyFont="1"/>
    <xf numFmtId="0" fontId="20" fillId="0" borderId="17" xfId="47" applyFont="1" applyBorder="1" applyAlignment="1">
      <alignment horizontal="center" vertical="center"/>
    </xf>
    <xf numFmtId="0" fontId="27" fillId="11" borderId="10" xfId="23" applyFont="1" applyBorder="1" applyAlignment="1" applyProtection="1">
      <alignment horizontal="center"/>
      <protection locked="0"/>
    </xf>
    <xf numFmtId="0" fontId="27" fillId="0" borderId="0" xfId="21" applyFont="1"/>
    <xf numFmtId="0" fontId="27" fillId="0" borderId="0" xfId="21" applyFont="1" applyAlignment="1" applyProtection="1">
      <alignment horizontal="centerContinuous"/>
      <protection locked="0"/>
    </xf>
    <xf numFmtId="0" fontId="19" fillId="0" borderId="0" xfId="21" applyFont="1" applyProtection="1">
      <protection locked="0"/>
    </xf>
    <xf numFmtId="0" fontId="27" fillId="0" borderId="0" xfId="21" applyFont="1" applyAlignment="1" applyProtection="1">
      <alignment horizontal="left" wrapText="1"/>
      <protection locked="0"/>
    </xf>
    <xf numFmtId="174" fontId="27" fillId="0" borderId="0" xfId="21" applyNumberFormat="1" applyFont="1" applyProtection="1">
      <protection locked="0"/>
    </xf>
    <xf numFmtId="0" fontId="27" fillId="0" borderId="17" xfId="21" applyFont="1" applyBorder="1" applyAlignment="1" applyProtection="1">
      <alignment horizontal="center"/>
      <protection locked="0"/>
    </xf>
    <xf numFmtId="37" fontId="27" fillId="0" borderId="17" xfId="26" applyNumberFormat="1" applyFont="1" applyFill="1" applyBorder="1" applyAlignment="1" applyProtection="1">
      <alignment horizontal="center"/>
      <protection locked="0"/>
    </xf>
    <xf numFmtId="37" fontId="27" fillId="0" borderId="1" xfId="26" applyNumberFormat="1" applyFont="1" applyFill="1" applyBorder="1" applyAlignment="1" applyProtection="1">
      <alignment horizontal="center"/>
    </xf>
    <xf numFmtId="0" fontId="28" fillId="0" borderId="5" xfId="21" applyFont="1" applyBorder="1" applyProtection="1">
      <protection locked="0"/>
    </xf>
    <xf numFmtId="0" fontId="27" fillId="0" borderId="17" xfId="21" applyFont="1" applyBorder="1" applyProtection="1">
      <protection locked="0"/>
    </xf>
    <xf numFmtId="174" fontId="27" fillId="0" borderId="17" xfId="24" applyNumberFormat="1" applyFont="1" applyFill="1" applyBorder="1" applyAlignment="1" applyProtection="1">
      <alignment horizontal="right"/>
      <protection locked="0"/>
    </xf>
    <xf numFmtId="174" fontId="27" fillId="0" borderId="17" xfId="24" applyNumberFormat="1" applyFont="1" applyFill="1" applyBorder="1" applyAlignment="1" applyProtection="1">
      <alignment horizontal="right"/>
    </xf>
    <xf numFmtId="174" fontId="27" fillId="21" borderId="17" xfId="24" applyNumberFormat="1" applyFont="1" applyFill="1" applyBorder="1" applyAlignment="1" applyProtection="1">
      <alignment horizontal="right"/>
    </xf>
    <xf numFmtId="173" fontId="27" fillId="21" borderId="17" xfId="24" applyNumberFormat="1" applyFont="1" applyFill="1" applyBorder="1" applyAlignment="1" applyProtection="1">
      <alignment horizontal="right"/>
    </xf>
    <xf numFmtId="10" fontId="27" fillId="0" borderId="17" xfId="25" applyNumberFormat="1" applyFont="1" applyBorder="1" applyAlignment="1" applyProtection="1">
      <alignment horizontal="center"/>
    </xf>
    <xf numFmtId="0" fontId="27" fillId="0" borderId="24" xfId="21" applyFont="1" applyBorder="1" applyProtection="1">
      <protection locked="0"/>
    </xf>
    <xf numFmtId="0" fontId="27" fillId="0" borderId="0" xfId="21" applyFont="1" applyAlignment="1" applyProtection="1">
      <alignment horizontal="center" vertical="center" wrapText="1"/>
      <protection locked="0"/>
    </xf>
    <xf numFmtId="174" fontId="28" fillId="2" borderId="39" xfId="24" applyNumberFormat="1" applyFont="1" applyFill="1" applyBorder="1"/>
    <xf numFmtId="174" fontId="28" fillId="2" borderId="8" xfId="24" applyNumberFormat="1" applyFont="1" applyFill="1" applyBorder="1"/>
    <xf numFmtId="0" fontId="27" fillId="12" borderId="69" xfId="0" applyFont="1" applyFill="1" applyBorder="1"/>
    <xf numFmtId="174" fontId="27" fillId="12" borderId="70" xfId="41" applyNumberFormat="1" applyFont="1" applyFill="1" applyBorder="1" applyProtection="1">
      <protection locked="0"/>
    </xf>
    <xf numFmtId="174" fontId="27" fillId="12" borderId="71" xfId="41" applyNumberFormat="1" applyFont="1" applyFill="1" applyBorder="1" applyProtection="1">
      <protection locked="0"/>
    </xf>
    <xf numFmtId="0" fontId="27" fillId="12" borderId="73" xfId="0" applyFont="1" applyFill="1" applyBorder="1"/>
    <xf numFmtId="174" fontId="27" fillId="12" borderId="16" xfId="41" applyNumberFormat="1" applyFont="1" applyFill="1" applyBorder="1" applyProtection="1">
      <protection locked="0"/>
    </xf>
    <xf numFmtId="174" fontId="27" fillId="12" borderId="74" xfId="41" applyNumberFormat="1" applyFont="1" applyFill="1" applyBorder="1" applyProtection="1">
      <protection locked="0"/>
    </xf>
    <xf numFmtId="0" fontId="27" fillId="12" borderId="75" xfId="0" applyFont="1" applyFill="1" applyBorder="1"/>
    <xf numFmtId="174" fontId="27" fillId="12" borderId="49" xfId="41" applyNumberFormat="1" applyFont="1" applyFill="1" applyBorder="1" applyProtection="1">
      <protection locked="0"/>
    </xf>
    <xf numFmtId="174" fontId="27" fillId="12" borderId="76" xfId="41" applyNumberFormat="1" applyFont="1" applyFill="1" applyBorder="1" applyProtection="1">
      <protection locked="0"/>
    </xf>
    <xf numFmtId="0" fontId="28" fillId="2" borderId="78" xfId="0" applyFont="1" applyFill="1" applyBorder="1" applyAlignment="1">
      <alignment horizontal="right" vertical="center" wrapText="1"/>
    </xf>
    <xf numFmtId="174" fontId="20" fillId="2" borderId="79" xfId="42" applyNumberFormat="1" applyFont="1" applyFill="1" applyBorder="1" applyAlignment="1">
      <alignment horizontal="right" vertical="center"/>
    </xf>
    <xf numFmtId="174" fontId="20" fillId="2" borderId="80" xfId="42" applyNumberFormat="1" applyFont="1" applyFill="1" applyBorder="1" applyAlignment="1">
      <alignment horizontal="right" vertical="center"/>
    </xf>
    <xf numFmtId="10" fontId="20" fillId="2" borderId="2" xfId="39" applyNumberFormat="1" applyFont="1" applyFill="1" applyBorder="1" applyAlignment="1">
      <alignment horizontal="center"/>
    </xf>
    <xf numFmtId="0" fontId="27" fillId="12" borderId="81" xfId="0" applyFont="1" applyFill="1" applyBorder="1"/>
    <xf numFmtId="174" fontId="27" fillId="12" borderId="82" xfId="41" applyNumberFormat="1" applyFont="1" applyFill="1" applyBorder="1" applyProtection="1">
      <protection locked="0"/>
    </xf>
    <xf numFmtId="174" fontId="27" fillId="12" borderId="83" xfId="41" applyNumberFormat="1" applyFont="1" applyFill="1" applyBorder="1" applyProtection="1">
      <protection locked="0"/>
    </xf>
    <xf numFmtId="0" fontId="27" fillId="12" borderId="46" xfId="0" applyFont="1" applyFill="1" applyBorder="1"/>
    <xf numFmtId="174" fontId="27" fillId="12" borderId="84" xfId="41" applyNumberFormat="1" applyFont="1" applyFill="1" applyBorder="1" applyProtection="1">
      <protection locked="0"/>
    </xf>
    <xf numFmtId="174" fontId="27" fillId="12" borderId="85" xfId="41" applyNumberFormat="1" applyFont="1" applyFill="1" applyBorder="1" applyProtection="1">
      <protection locked="0"/>
    </xf>
    <xf numFmtId="0" fontId="31" fillId="12" borderId="48" xfId="0" applyFont="1" applyFill="1" applyBorder="1"/>
    <xf numFmtId="174" fontId="27" fillId="12" borderId="86" xfId="41" applyNumberFormat="1" applyFont="1" applyFill="1" applyBorder="1" applyProtection="1">
      <protection locked="0"/>
    </xf>
    <xf numFmtId="174" fontId="27" fillId="12" borderId="87" xfId="41" applyNumberFormat="1" applyFont="1" applyFill="1" applyBorder="1" applyProtection="1">
      <protection locked="0"/>
    </xf>
    <xf numFmtId="0" fontId="28" fillId="2" borderId="44" xfId="0" applyFont="1" applyFill="1" applyBorder="1" applyAlignment="1">
      <alignment horizontal="right" vertical="center" wrapText="1"/>
    </xf>
    <xf numFmtId="174" fontId="20" fillId="2" borderId="88" xfId="42" applyNumberFormat="1" applyFont="1" applyFill="1" applyBorder="1"/>
    <xf numFmtId="10" fontId="20" fillId="2" borderId="71" xfId="39" applyNumberFormat="1" applyFont="1" applyFill="1" applyBorder="1" applyAlignment="1">
      <alignment horizontal="center"/>
    </xf>
    <xf numFmtId="0" fontId="28" fillId="2" borderId="48" xfId="0" applyFont="1" applyFill="1" applyBorder="1" applyAlignment="1">
      <alignment horizontal="right" vertical="center" wrapText="1"/>
    </xf>
    <xf numFmtId="174" fontId="20" fillId="2" borderId="86" xfId="0" applyNumberFormat="1" applyFont="1" applyFill="1" applyBorder="1"/>
    <xf numFmtId="10" fontId="20" fillId="2" borderId="6" xfId="39" applyNumberFormat="1" applyFont="1" applyFill="1" applyBorder="1" applyAlignment="1">
      <alignment horizontal="center"/>
    </xf>
    <xf numFmtId="14" fontId="27" fillId="12" borderId="57" xfId="21" applyNumberFormat="1" applyFont="1" applyFill="1" applyBorder="1" applyAlignment="1">
      <alignment horizontal="center"/>
    </xf>
    <xf numFmtId="174" fontId="27" fillId="12" borderId="61" xfId="2" applyNumberFormat="1" applyFont="1" applyFill="1" applyBorder="1" applyAlignment="1" applyProtection="1">
      <alignment horizontal="right"/>
      <protection locked="0"/>
    </xf>
    <xf numFmtId="14" fontId="27" fillId="12" borderId="36" xfId="21" applyNumberFormat="1" applyFont="1" applyFill="1" applyBorder="1" applyAlignment="1">
      <alignment horizontal="center"/>
    </xf>
    <xf numFmtId="174" fontId="27" fillId="12" borderId="33" xfId="2" applyNumberFormat="1" applyFont="1" applyFill="1" applyBorder="1" applyAlignment="1" applyProtection="1">
      <alignment horizontal="right"/>
      <protection locked="0"/>
    </xf>
    <xf numFmtId="14" fontId="27" fillId="12" borderId="38" xfId="21" applyNumberFormat="1" applyFont="1" applyFill="1" applyBorder="1" applyAlignment="1">
      <alignment horizontal="center"/>
    </xf>
    <xf numFmtId="174" fontId="27" fillId="12" borderId="10" xfId="2" applyNumberFormat="1" applyFont="1" applyFill="1" applyBorder="1" applyAlignment="1" applyProtection="1">
      <alignment horizontal="right"/>
      <protection locked="0"/>
    </xf>
    <xf numFmtId="14" fontId="27" fillId="12" borderId="59" xfId="21" applyNumberFormat="1" applyFont="1" applyFill="1" applyBorder="1" applyAlignment="1">
      <alignment horizontal="center"/>
    </xf>
    <xf numFmtId="174" fontId="27" fillId="12" borderId="77" xfId="2" applyNumberFormat="1" applyFont="1" applyFill="1" applyBorder="1" applyAlignment="1" applyProtection="1">
      <alignment horizontal="right"/>
      <protection locked="0"/>
    </xf>
    <xf numFmtId="0" fontId="28" fillId="2" borderId="62" xfId="21" applyFont="1" applyFill="1" applyBorder="1" applyAlignment="1" applyProtection="1">
      <alignment horizontal="right"/>
      <protection locked="0"/>
    </xf>
    <xf numFmtId="174" fontId="28" fillId="2" borderId="39" xfId="2" applyNumberFormat="1" applyFont="1" applyFill="1" applyBorder="1" applyAlignment="1" applyProtection="1">
      <alignment horizontal="right"/>
    </xf>
    <xf numFmtId="0" fontId="27" fillId="0" borderId="0" xfId="21" applyFont="1" applyAlignment="1" applyProtection="1">
      <alignment horizontal="right"/>
      <protection locked="0"/>
    </xf>
    <xf numFmtId="0" fontId="28" fillId="0" borderId="0" xfId="21" applyFont="1" applyAlignment="1">
      <alignment horizontal="left"/>
    </xf>
    <xf numFmtId="43" fontId="27" fillId="0" borderId="0" xfId="21" applyNumberFormat="1" applyFont="1" applyProtection="1">
      <protection locked="0"/>
    </xf>
    <xf numFmtId="0" fontId="31" fillId="0" borderId="0" xfId="21" applyFont="1" applyAlignment="1" applyProtection="1">
      <alignment horizontal="center"/>
      <protection locked="0"/>
    </xf>
    <xf numFmtId="0" fontId="31" fillId="0" borderId="0" xfId="21" applyFont="1" applyAlignment="1" applyProtection="1">
      <alignment horizontal="right"/>
      <protection locked="0"/>
    </xf>
    <xf numFmtId="0" fontId="27" fillId="0" borderId="0" xfId="21" applyFont="1" applyAlignment="1" applyProtection="1">
      <alignment horizontal="center" wrapText="1"/>
      <protection locked="0"/>
    </xf>
    <xf numFmtId="43" fontId="27" fillId="0" borderId="0" xfId="21" applyNumberFormat="1" applyFont="1" applyAlignment="1" applyProtection="1">
      <alignment horizontal="center" wrapText="1"/>
      <protection locked="0"/>
    </xf>
    <xf numFmtId="14" fontId="27" fillId="0" borderId="57" xfId="0" applyNumberFormat="1" applyFont="1" applyBorder="1" applyAlignment="1">
      <alignment horizontal="center"/>
    </xf>
    <xf numFmtId="14" fontId="27" fillId="0" borderId="61" xfId="0" applyNumberFormat="1" applyFont="1" applyBorder="1" applyAlignment="1">
      <alignment horizontal="center"/>
    </xf>
    <xf numFmtId="174" fontId="27" fillId="0" borderId="61" xfId="38" applyNumberFormat="1" applyFont="1" applyFill="1" applyBorder="1" applyAlignment="1"/>
    <xf numFmtId="174" fontId="27" fillId="0" borderId="58" xfId="38" applyNumberFormat="1" applyFont="1" applyFill="1" applyBorder="1" applyAlignment="1"/>
    <xf numFmtId="174" fontId="28" fillId="21" borderId="71" xfId="0" applyNumberFormat="1" applyFont="1" applyFill="1" applyBorder="1" applyAlignment="1">
      <alignment wrapText="1"/>
    </xf>
    <xf numFmtId="14" fontId="27" fillId="0" borderId="38" xfId="0" applyNumberFormat="1" applyFont="1" applyBorder="1" applyAlignment="1">
      <alignment horizontal="center"/>
    </xf>
    <xf numFmtId="14" fontId="27" fillId="0" borderId="10" xfId="0" applyNumberFormat="1" applyFont="1" applyBorder="1" applyAlignment="1">
      <alignment horizontal="center"/>
    </xf>
    <xf numFmtId="174" fontId="27" fillId="0" borderId="10" xfId="38" applyNumberFormat="1" applyFont="1" applyFill="1" applyBorder="1" applyAlignment="1"/>
    <xf numFmtId="174" fontId="27" fillId="0" borderId="31" xfId="38" applyNumberFormat="1" applyFont="1" applyFill="1" applyBorder="1" applyAlignment="1"/>
    <xf numFmtId="174" fontId="28" fillId="21" borderId="74" xfId="0" applyNumberFormat="1" applyFont="1" applyFill="1" applyBorder="1" applyAlignment="1">
      <alignment wrapText="1"/>
    </xf>
    <xf numFmtId="14" fontId="27" fillId="0" borderId="59" xfId="0" applyNumberFormat="1" applyFont="1" applyBorder="1" applyAlignment="1">
      <alignment horizontal="center"/>
    </xf>
    <xf numFmtId="14" fontId="27" fillId="0" borderId="77" xfId="0" applyNumberFormat="1" applyFont="1" applyBorder="1" applyAlignment="1">
      <alignment horizontal="center"/>
    </xf>
    <xf numFmtId="174" fontId="27" fillId="0" borderId="77" xfId="38" applyNumberFormat="1" applyFont="1" applyFill="1" applyBorder="1" applyAlignment="1"/>
    <xf numFmtId="174" fontId="27" fillId="0" borderId="101" xfId="38" applyNumberFormat="1" applyFont="1" applyFill="1" applyBorder="1" applyAlignment="1"/>
    <xf numFmtId="174" fontId="28" fillId="21" borderId="76" xfId="0" applyNumberFormat="1" applyFont="1" applyFill="1" applyBorder="1" applyAlignment="1">
      <alignment wrapText="1"/>
    </xf>
    <xf numFmtId="174" fontId="28" fillId="2" borderId="63" xfId="0" applyNumberFormat="1" applyFont="1" applyFill="1" applyBorder="1" applyAlignment="1">
      <alignment wrapText="1"/>
    </xf>
    <xf numFmtId="174" fontId="28" fillId="2" borderId="60" xfId="0" applyNumberFormat="1" applyFont="1" applyFill="1" applyBorder="1" applyAlignment="1">
      <alignment wrapText="1"/>
    </xf>
    <xf numFmtId="174" fontId="28" fillId="2" borderId="17" xfId="0" applyNumberFormat="1" applyFont="1" applyFill="1" applyBorder="1" applyAlignment="1">
      <alignment wrapText="1"/>
    </xf>
    <xf numFmtId="0" fontId="27" fillId="0" borderId="62" xfId="21" applyFont="1" applyBorder="1" applyProtection="1">
      <protection locked="0"/>
    </xf>
    <xf numFmtId="0" fontId="20" fillId="0" borderId="0" xfId="22" applyFont="1" applyAlignment="1">
      <alignment horizontal="right"/>
    </xf>
    <xf numFmtId="44" fontId="27" fillId="0" borderId="0" xfId="24" applyFont="1" applyBorder="1" applyProtection="1">
      <protection locked="0"/>
    </xf>
    <xf numFmtId="0" fontId="28" fillId="0" borderId="9" xfId="21" applyFont="1" applyBorder="1" applyProtection="1">
      <protection locked="0"/>
    </xf>
    <xf numFmtId="0" fontId="28" fillId="0" borderId="7" xfId="21" applyFont="1" applyBorder="1" applyProtection="1">
      <protection locked="0"/>
    </xf>
    <xf numFmtId="49" fontId="27" fillId="13" borderId="57" xfId="21" applyNumberFormat="1" applyFont="1" applyFill="1" applyBorder="1" applyAlignment="1" applyProtection="1">
      <alignment horizontal="center"/>
      <protection locked="0"/>
    </xf>
    <xf numFmtId="0" fontId="27" fillId="0" borderId="61" xfId="21" applyFont="1" applyBorder="1" applyProtection="1">
      <protection locked="0"/>
    </xf>
    <xf numFmtId="174" fontId="27" fillId="0" borderId="72" xfId="24" applyNumberFormat="1" applyFont="1" applyFill="1" applyBorder="1" applyProtection="1">
      <protection locked="0"/>
    </xf>
    <xf numFmtId="49" fontId="27" fillId="13" borderId="38" xfId="21" applyNumberFormat="1" applyFont="1" applyFill="1" applyBorder="1" applyAlignment="1" applyProtection="1">
      <alignment horizontal="center"/>
      <protection locked="0"/>
    </xf>
    <xf numFmtId="0" fontId="27" fillId="0" borderId="10" xfId="21" applyFont="1" applyBorder="1" applyProtection="1">
      <protection locked="0"/>
    </xf>
    <xf numFmtId="174" fontId="27" fillId="0" borderId="67" xfId="24" applyNumberFormat="1" applyFont="1" applyFill="1" applyBorder="1" applyProtection="1">
      <protection locked="0"/>
    </xf>
    <xf numFmtId="49" fontId="27" fillId="13" borderId="59" xfId="21" applyNumberFormat="1" applyFont="1" applyFill="1" applyBorder="1" applyAlignment="1" applyProtection="1">
      <alignment horizontal="center"/>
      <protection locked="0"/>
    </xf>
    <xf numFmtId="0" fontId="27" fillId="0" borderId="77" xfId="21" applyFont="1" applyBorder="1" applyProtection="1">
      <protection locked="0"/>
    </xf>
    <xf numFmtId="174" fontId="27" fillId="0" borderId="50" xfId="24" applyNumberFormat="1" applyFont="1" applyFill="1" applyBorder="1" applyProtection="1">
      <protection locked="0"/>
    </xf>
    <xf numFmtId="0" fontId="20" fillId="2" borderId="105" xfId="22" applyFont="1" applyFill="1" applyBorder="1" applyAlignment="1">
      <alignment horizontal="right"/>
    </xf>
    <xf numFmtId="174" fontId="28" fillId="2" borderId="22" xfId="24" applyNumberFormat="1" applyFont="1" applyFill="1" applyBorder="1" applyProtection="1"/>
    <xf numFmtId="174" fontId="27" fillId="0" borderId="72" xfId="37" applyNumberFormat="1" applyFont="1" applyFill="1" applyBorder="1" applyProtection="1">
      <protection locked="0"/>
    </xf>
    <xf numFmtId="174" fontId="27" fillId="0" borderId="67" xfId="37" applyNumberFormat="1" applyFont="1" applyFill="1" applyBorder="1" applyProtection="1">
      <protection locked="0"/>
    </xf>
    <xf numFmtId="174" fontId="27" fillId="0" borderId="50" xfId="37" applyNumberFormat="1" applyFont="1" applyFill="1" applyBorder="1" applyProtection="1">
      <protection locked="0"/>
    </xf>
    <xf numFmtId="0" fontId="39" fillId="0" borderId="0" xfId="0" applyFont="1"/>
    <xf numFmtId="6" fontId="24" fillId="0" borderId="0" xfId="0" applyNumberFormat="1" applyFont="1"/>
    <xf numFmtId="0" fontId="24" fillId="0" borderId="0" xfId="0" applyFont="1"/>
    <xf numFmtId="0" fontId="27" fillId="0" borderId="57" xfId="21" applyFont="1" applyBorder="1" applyProtection="1">
      <protection locked="0"/>
    </xf>
    <xf numFmtId="174" fontId="27" fillId="0" borderId="61" xfId="2" applyNumberFormat="1" applyFont="1" applyFill="1" applyBorder="1" applyProtection="1">
      <protection locked="0"/>
    </xf>
    <xf numFmtId="174" fontId="27" fillId="0" borderId="72" xfId="2" applyNumberFormat="1" applyFont="1" applyFill="1" applyBorder="1" applyProtection="1">
      <protection locked="0"/>
    </xf>
    <xf numFmtId="0" fontId="27" fillId="0" borderId="38" xfId="21" applyFont="1" applyBorder="1" applyProtection="1">
      <protection locked="0"/>
    </xf>
    <xf numFmtId="174" fontId="27" fillId="0" borderId="10" xfId="2" applyNumberFormat="1" applyFont="1" applyFill="1" applyBorder="1" applyProtection="1">
      <protection locked="0"/>
    </xf>
    <xf numFmtId="174" fontId="27" fillId="0" borderId="67" xfId="2" applyNumberFormat="1" applyFont="1" applyFill="1" applyBorder="1" applyProtection="1">
      <protection locked="0"/>
    </xf>
    <xf numFmtId="0" fontId="27" fillId="0" borderId="59" xfId="21" applyFont="1" applyBorder="1" applyProtection="1">
      <protection locked="0"/>
    </xf>
    <xf numFmtId="174" fontId="27" fillId="0" borderId="77" xfId="2" applyNumberFormat="1" applyFont="1" applyFill="1" applyBorder="1" applyProtection="1">
      <protection locked="0"/>
    </xf>
    <xf numFmtId="174" fontId="27" fillId="0" borderId="50" xfId="2" applyNumberFormat="1" applyFont="1" applyFill="1" applyBorder="1" applyProtection="1">
      <protection locked="0"/>
    </xf>
    <xf numFmtId="0" fontId="28" fillId="2" borderId="9" xfId="21" applyFont="1" applyFill="1" applyBorder="1" applyAlignment="1" applyProtection="1">
      <alignment horizontal="right"/>
      <protection locked="0"/>
    </xf>
    <xf numFmtId="174" fontId="28" fillId="2" borderId="39" xfId="2" applyNumberFormat="1" applyFont="1" applyFill="1" applyBorder="1" applyProtection="1"/>
    <xf numFmtId="174" fontId="28" fillId="2" borderId="22" xfId="2" applyNumberFormat="1" applyFont="1" applyFill="1" applyBorder="1" applyProtection="1"/>
    <xf numFmtId="0" fontId="27" fillId="12" borderId="58" xfId="21" applyFont="1" applyFill="1" applyBorder="1" applyProtection="1">
      <protection locked="0"/>
    </xf>
    <xf numFmtId="174" fontId="27" fillId="12" borderId="57" xfId="24" applyNumberFormat="1" applyFont="1" applyFill="1" applyBorder="1" applyProtection="1">
      <protection locked="0"/>
    </xf>
    <xf numFmtId="174" fontId="27" fillId="12" borderId="72" xfId="24" applyNumberFormat="1" applyFont="1" applyFill="1" applyBorder="1" applyProtection="1">
      <protection locked="0"/>
    </xf>
    <xf numFmtId="174" fontId="27" fillId="12" borderId="89" xfId="24" applyNumberFormat="1" applyFont="1" applyFill="1" applyBorder="1" applyProtection="1">
      <protection locked="0"/>
    </xf>
    <xf numFmtId="174" fontId="27" fillId="12" borderId="58" xfId="24" applyNumberFormat="1" applyFont="1" applyFill="1" applyBorder="1" applyProtection="1">
      <protection locked="0"/>
    </xf>
    <xf numFmtId="174" fontId="28" fillId="21" borderId="89" xfId="24" applyNumberFormat="1" applyFont="1" applyFill="1" applyBorder="1" applyProtection="1"/>
    <xf numFmtId="174" fontId="28" fillId="21" borderId="72" xfId="24" applyNumberFormat="1" applyFont="1" applyFill="1" applyBorder="1" applyProtection="1"/>
    <xf numFmtId="0" fontId="27" fillId="12" borderId="31" xfId="21" applyFont="1" applyFill="1" applyBorder="1" applyProtection="1">
      <protection locked="0"/>
    </xf>
    <xf numFmtId="174" fontId="27" fillId="12" borderId="38" xfId="24" applyNumberFormat="1" applyFont="1" applyFill="1" applyBorder="1" applyProtection="1">
      <protection locked="0"/>
    </xf>
    <xf numFmtId="174" fontId="27" fillId="12" borderId="67" xfId="24" applyNumberFormat="1" applyFont="1" applyFill="1" applyBorder="1" applyProtection="1">
      <protection locked="0"/>
    </xf>
    <xf numFmtId="174" fontId="27" fillId="12" borderId="32" xfId="24" applyNumberFormat="1" applyFont="1" applyFill="1" applyBorder="1" applyProtection="1">
      <protection locked="0"/>
    </xf>
    <xf numFmtId="174" fontId="27" fillId="12" borderId="31" xfId="24" applyNumberFormat="1" applyFont="1" applyFill="1" applyBorder="1" applyProtection="1">
      <protection locked="0"/>
    </xf>
    <xf numFmtId="174" fontId="28" fillId="21" borderId="32" xfId="24" applyNumberFormat="1" applyFont="1" applyFill="1" applyBorder="1" applyProtection="1"/>
    <xf numFmtId="174" fontId="28" fillId="21" borderId="67" xfId="24" applyNumberFormat="1" applyFont="1" applyFill="1" applyBorder="1" applyProtection="1"/>
    <xf numFmtId="0" fontId="27" fillId="12" borderId="25" xfId="21" applyFont="1" applyFill="1" applyBorder="1" applyProtection="1">
      <protection locked="0"/>
    </xf>
    <xf numFmtId="174" fontId="27" fillId="12" borderId="59" xfId="24" applyNumberFormat="1" applyFont="1" applyFill="1" applyBorder="1" applyProtection="1">
      <protection locked="0"/>
    </xf>
    <xf numFmtId="174" fontId="27" fillId="12" borderId="50" xfId="24" applyNumberFormat="1" applyFont="1" applyFill="1" applyBorder="1" applyProtection="1">
      <protection locked="0"/>
    </xf>
    <xf numFmtId="174" fontId="27" fillId="12" borderId="90" xfId="24" applyNumberFormat="1" applyFont="1" applyFill="1" applyBorder="1" applyProtection="1">
      <protection locked="0"/>
    </xf>
    <xf numFmtId="174" fontId="27" fillId="12" borderId="101" xfId="24" applyNumberFormat="1" applyFont="1" applyFill="1" applyBorder="1" applyProtection="1">
      <protection locked="0"/>
    </xf>
    <xf numFmtId="174" fontId="28" fillId="21" borderId="90" xfId="24" applyNumberFormat="1" applyFont="1" applyFill="1" applyBorder="1" applyProtection="1"/>
    <xf numFmtId="174" fontId="28" fillId="21" borderId="50" xfId="24" applyNumberFormat="1" applyFont="1" applyFill="1" applyBorder="1" applyProtection="1"/>
    <xf numFmtId="0" fontId="28" fillId="2" borderId="2" xfId="21" applyFont="1" applyFill="1" applyBorder="1"/>
    <xf numFmtId="0" fontId="28" fillId="2" borderId="18" xfId="21" applyFont="1" applyFill="1" applyBorder="1" applyAlignment="1">
      <alignment horizontal="right"/>
    </xf>
    <xf numFmtId="44" fontId="28" fillId="2" borderId="1" xfId="2" applyFont="1" applyFill="1" applyBorder="1" applyAlignment="1" applyProtection="1">
      <alignment horizontal="right"/>
    </xf>
    <xf numFmtId="174" fontId="28" fillId="2" borderId="62" xfId="2" applyNumberFormat="1" applyFont="1" applyFill="1" applyBorder="1" applyProtection="1"/>
    <xf numFmtId="174" fontId="28" fillId="2" borderId="8" xfId="2" applyNumberFormat="1" applyFont="1" applyFill="1" applyBorder="1" applyProtection="1"/>
    <xf numFmtId="174" fontId="28" fillId="2" borderId="105" xfId="2" applyNumberFormat="1" applyFont="1" applyFill="1" applyBorder="1" applyProtection="1"/>
    <xf numFmtId="174" fontId="28" fillId="2" borderId="7" xfId="2" applyNumberFormat="1" applyFont="1" applyFill="1" applyBorder="1" applyProtection="1"/>
    <xf numFmtId="174" fontId="28" fillId="2" borderId="8" xfId="24" applyNumberFormat="1" applyFont="1" applyFill="1" applyBorder="1" applyProtection="1"/>
    <xf numFmtId="0" fontId="27" fillId="11" borderId="10" xfId="36" applyFont="1" applyBorder="1" applyAlignment="1" applyProtection="1">
      <alignment horizontal="center"/>
      <protection locked="0"/>
    </xf>
    <xf numFmtId="0" fontId="21" fillId="0" borderId="0" xfId="21" applyFont="1" applyProtection="1">
      <protection locked="0"/>
    </xf>
    <xf numFmtId="0" fontId="28" fillId="0" borderId="0" xfId="21" applyFont="1" applyAlignment="1" applyProtection="1">
      <alignment horizontal="left" indent="10"/>
      <protection locked="0"/>
    </xf>
    <xf numFmtId="0" fontId="27" fillId="0" borderId="44" xfId="21" applyFont="1" applyBorder="1" applyAlignment="1" applyProtection="1">
      <alignment horizontal="center"/>
      <protection locked="0"/>
    </xf>
    <xf numFmtId="0" fontId="27" fillId="0" borderId="51" xfId="21" applyFont="1" applyBorder="1" applyProtection="1">
      <protection locked="0"/>
    </xf>
    <xf numFmtId="174" fontId="28" fillId="21" borderId="14" xfId="38" applyNumberFormat="1" applyFont="1" applyFill="1" applyBorder="1" applyProtection="1"/>
    <xf numFmtId="0" fontId="27" fillId="0" borderId="46" xfId="21" applyFont="1" applyBorder="1" applyAlignment="1" applyProtection="1">
      <alignment horizontal="center"/>
      <protection locked="0"/>
    </xf>
    <xf numFmtId="0" fontId="27" fillId="0" borderId="47" xfId="21" applyFont="1" applyBorder="1" applyProtection="1">
      <protection locked="0"/>
    </xf>
    <xf numFmtId="174" fontId="28" fillId="21" borderId="47" xfId="37" applyNumberFormat="1" applyFont="1" applyFill="1" applyBorder="1"/>
    <xf numFmtId="165" fontId="27" fillId="0" borderId="46" xfId="8" applyFont="1" applyBorder="1" applyAlignment="1">
      <alignment horizontal="center"/>
    </xf>
    <xf numFmtId="0" fontId="27" fillId="0" borderId="47" xfId="0" applyFont="1" applyBorder="1"/>
    <xf numFmtId="0" fontId="27" fillId="0" borderId="48" xfId="21" applyFont="1" applyBorder="1" applyAlignment="1" applyProtection="1">
      <alignment horizontal="center"/>
      <protection locked="0"/>
    </xf>
    <xf numFmtId="0" fontId="27" fillId="0" borderId="54" xfId="21" applyFont="1" applyBorder="1" applyProtection="1">
      <protection locked="0"/>
    </xf>
    <xf numFmtId="174" fontId="28" fillId="21" borderId="54" xfId="37" applyNumberFormat="1" applyFont="1" applyFill="1" applyBorder="1"/>
    <xf numFmtId="0" fontId="31" fillId="2" borderId="2" xfId="21" applyFont="1" applyFill="1" applyBorder="1" applyProtection="1">
      <protection locked="0"/>
    </xf>
    <xf numFmtId="0" fontId="28" fillId="2" borderId="1" xfId="21" applyFont="1" applyFill="1" applyBorder="1" applyAlignment="1" applyProtection="1">
      <alignment horizontal="right"/>
      <protection locked="0"/>
    </xf>
    <xf numFmtId="174" fontId="20" fillId="2" borderId="17" xfId="38" applyNumberFormat="1" applyFont="1" applyFill="1" applyBorder="1" applyProtection="1"/>
    <xf numFmtId="174" fontId="20" fillId="2" borderId="1" xfId="38" applyNumberFormat="1" applyFont="1" applyFill="1" applyBorder="1" applyProtection="1"/>
    <xf numFmtId="0" fontId="27" fillId="12" borderId="99" xfId="21" applyFont="1" applyFill="1" applyBorder="1" applyProtection="1">
      <protection locked="0"/>
    </xf>
    <xf numFmtId="174" fontId="27" fillId="12" borderId="99" xfId="24" applyNumberFormat="1" applyFont="1" applyFill="1" applyBorder="1" applyAlignment="1" applyProtection="1">
      <protection locked="0"/>
    </xf>
    <xf numFmtId="0" fontId="27" fillId="12" borderId="74" xfId="21" applyFont="1" applyFill="1" applyBorder="1" applyProtection="1">
      <protection locked="0"/>
    </xf>
    <xf numFmtId="174" fontId="27" fillId="12" borderId="74" xfId="24" applyNumberFormat="1" applyFont="1" applyFill="1" applyBorder="1" applyAlignment="1" applyProtection="1">
      <protection locked="0"/>
    </xf>
    <xf numFmtId="0" fontId="27" fillId="12" borderId="11" xfId="21" applyFont="1" applyFill="1" applyBorder="1" applyProtection="1">
      <protection locked="0"/>
    </xf>
    <xf numFmtId="174" fontId="27" fillId="12" borderId="11" xfId="24" applyNumberFormat="1" applyFont="1" applyFill="1" applyBorder="1" applyAlignment="1" applyProtection="1">
      <protection locked="0"/>
    </xf>
    <xf numFmtId="0" fontId="28" fillId="2" borderId="17" xfId="21" applyFont="1" applyFill="1" applyBorder="1" applyAlignment="1" applyProtection="1">
      <alignment horizontal="right"/>
      <protection locked="0"/>
    </xf>
    <xf numFmtId="174" fontId="28" fillId="2" borderId="17" xfId="24" applyNumberFormat="1" applyFont="1" applyFill="1" applyBorder="1" applyAlignment="1" applyProtection="1"/>
    <xf numFmtId="43" fontId="27" fillId="0" borderId="0" xfId="1" applyFont="1" applyFill="1" applyProtection="1">
      <protection locked="0"/>
    </xf>
    <xf numFmtId="43" fontId="27" fillId="0" borderId="0" xfId="1" applyFont="1" applyFill="1" applyProtection="1"/>
    <xf numFmtId="166" fontId="18" fillId="20" borderId="4" xfId="8" applyNumberFormat="1" applyFont="1" applyFill="1" applyBorder="1" applyAlignment="1">
      <alignment horizontal="center"/>
    </xf>
    <xf numFmtId="166" fontId="18" fillId="20" borderId="20" xfId="8" applyNumberFormat="1" applyFont="1" applyFill="1" applyBorder="1" applyAlignment="1">
      <alignment horizontal="center"/>
    </xf>
    <xf numFmtId="43" fontId="18" fillId="20" borderId="49" xfId="1" applyFont="1" applyFill="1" applyBorder="1" applyAlignment="1" applyProtection="1">
      <alignment horizontal="center" vertical="center" wrapText="1"/>
      <protection locked="0"/>
    </xf>
    <xf numFmtId="37" fontId="19" fillId="0" borderId="27" xfId="1" applyNumberFormat="1" applyFont="1" applyFill="1" applyBorder="1" applyAlignment="1" applyProtection="1">
      <alignment horizontal="right"/>
    </xf>
    <xf numFmtId="37" fontId="19" fillId="0" borderId="0" xfId="1" applyNumberFormat="1" applyFont="1" applyFill="1" applyBorder="1" applyAlignment="1" applyProtection="1">
      <alignment horizontal="right"/>
    </xf>
    <xf numFmtId="37" fontId="19" fillId="20" borderId="0" xfId="1" applyNumberFormat="1" applyFont="1" applyFill="1" applyBorder="1" applyAlignment="1" applyProtection="1">
      <alignment horizontal="right"/>
    </xf>
    <xf numFmtId="37" fontId="27" fillId="0" borderId="27" xfId="1" applyNumberFormat="1" applyFont="1" applyFill="1" applyBorder="1" applyAlignment="1" applyProtection="1">
      <alignment horizontal="right"/>
      <protection locked="0"/>
    </xf>
    <xf numFmtId="37" fontId="27" fillId="0" borderId="0" xfId="1" applyNumberFormat="1" applyFont="1" applyFill="1" applyBorder="1" applyAlignment="1" applyProtection="1">
      <alignment horizontal="right"/>
      <protection locked="0"/>
    </xf>
    <xf numFmtId="37" fontId="27" fillId="20" borderId="0" xfId="1" applyNumberFormat="1" applyFont="1" applyFill="1" applyBorder="1" applyAlignment="1" applyProtection="1">
      <alignment horizontal="right"/>
      <protection locked="0"/>
    </xf>
    <xf numFmtId="37" fontId="19" fillId="0" borderId="27" xfId="1" applyNumberFormat="1" applyFont="1" applyFill="1" applyBorder="1" applyAlignment="1" applyProtection="1">
      <alignment horizontal="right"/>
      <protection locked="0"/>
    </xf>
    <xf numFmtId="37" fontId="19" fillId="20" borderId="0" xfId="1" applyNumberFormat="1" applyFont="1" applyFill="1" applyBorder="1" applyAlignment="1" applyProtection="1">
      <alignment horizontal="right"/>
      <protection locked="0"/>
    </xf>
    <xf numFmtId="37" fontId="19" fillId="0" borderId="105" xfId="1" applyNumberFormat="1" applyFont="1" applyFill="1" applyBorder="1" applyAlignment="1" applyProtection="1">
      <alignment horizontal="right"/>
      <protection locked="0"/>
    </xf>
    <xf numFmtId="37" fontId="28" fillId="6" borderId="24" xfId="1" applyNumberFormat="1" applyFont="1" applyFill="1" applyBorder="1" applyAlignment="1" applyProtection="1">
      <alignment horizontal="right"/>
    </xf>
    <xf numFmtId="37" fontId="28" fillId="6" borderId="18" xfId="1" applyNumberFormat="1" applyFont="1" applyFill="1" applyBorder="1" applyAlignment="1" applyProtection="1">
      <alignment horizontal="right"/>
    </xf>
    <xf numFmtId="37" fontId="28" fillId="20" borderId="18" xfId="1" applyNumberFormat="1" applyFont="1" applyFill="1" applyBorder="1" applyAlignment="1" applyProtection="1">
      <alignment horizontal="right"/>
    </xf>
    <xf numFmtId="37" fontId="19" fillId="0" borderId="65" xfId="1" applyNumberFormat="1" applyFont="1" applyFill="1" applyBorder="1" applyAlignment="1" applyProtection="1">
      <alignment horizontal="right"/>
      <protection locked="0"/>
    </xf>
    <xf numFmtId="37" fontId="19" fillId="0" borderId="37" xfId="1" applyNumberFormat="1" applyFont="1" applyFill="1" applyBorder="1" applyAlignment="1" applyProtection="1">
      <alignment horizontal="right"/>
      <protection locked="0"/>
    </xf>
    <xf numFmtId="37" fontId="27" fillId="0" borderId="65" xfId="1" applyNumberFormat="1" applyFont="1" applyFill="1" applyBorder="1" applyAlignment="1" applyProtection="1">
      <alignment horizontal="right"/>
      <protection locked="0"/>
    </xf>
    <xf numFmtId="37" fontId="19" fillId="0" borderId="62" xfId="1" applyNumberFormat="1" applyFont="1" applyFill="1" applyBorder="1" applyAlignment="1" applyProtection="1">
      <alignment horizontal="right"/>
      <protection locked="0"/>
    </xf>
    <xf numFmtId="37" fontId="19" fillId="0" borderId="37" xfId="1" applyNumberFormat="1" applyFont="1" applyBorder="1" applyAlignment="1" applyProtection="1">
      <alignment horizontal="right"/>
      <protection locked="0"/>
    </xf>
    <xf numFmtId="37" fontId="19" fillId="0" borderId="0" xfId="1" applyNumberFormat="1" applyFont="1" applyAlignment="1" applyProtection="1">
      <alignment horizontal="right"/>
      <protection locked="0"/>
    </xf>
    <xf numFmtId="37" fontId="28" fillId="21" borderId="11" xfId="1" applyNumberFormat="1" applyFont="1" applyFill="1" applyBorder="1" applyAlignment="1">
      <alignment horizontal="right"/>
    </xf>
    <xf numFmtId="37" fontId="19" fillId="20" borderId="0" xfId="1" applyNumberFormat="1" applyFont="1" applyFill="1" applyAlignment="1" applyProtection="1">
      <alignment horizontal="right"/>
      <protection locked="0"/>
    </xf>
    <xf numFmtId="165" fontId="32" fillId="2" borderId="0" xfId="8" applyFont="1" applyFill="1"/>
    <xf numFmtId="37" fontId="27" fillId="2" borderId="37" xfId="1" applyNumberFormat="1" applyFont="1" applyFill="1" applyBorder="1" applyAlignment="1" applyProtection="1">
      <alignment horizontal="right"/>
      <protection locked="0"/>
    </xf>
    <xf numFmtId="37" fontId="27" fillId="2" borderId="0" xfId="1" applyNumberFormat="1" applyFont="1" applyFill="1" applyBorder="1" applyAlignment="1" applyProtection="1">
      <alignment horizontal="right"/>
      <protection locked="0"/>
    </xf>
    <xf numFmtId="37" fontId="28" fillId="2" borderId="11" xfId="1" applyNumberFormat="1" applyFont="1" applyFill="1" applyBorder="1" applyAlignment="1">
      <alignment horizontal="right"/>
    </xf>
    <xf numFmtId="37" fontId="27" fillId="2" borderId="0" xfId="1" applyNumberFormat="1" applyFont="1" applyFill="1" applyAlignment="1" applyProtection="1">
      <alignment horizontal="right"/>
      <protection locked="0"/>
    </xf>
    <xf numFmtId="37" fontId="28" fillId="6" borderId="64" xfId="1" applyNumberFormat="1" applyFont="1" applyFill="1" applyBorder="1" applyAlignment="1">
      <alignment horizontal="right"/>
    </xf>
    <xf numFmtId="37" fontId="28" fillId="6" borderId="24" xfId="1" applyNumberFormat="1" applyFont="1" applyFill="1" applyBorder="1" applyAlignment="1">
      <alignment horizontal="right"/>
    </xf>
    <xf numFmtId="37" fontId="19" fillId="0" borderId="24" xfId="1" applyNumberFormat="1" applyFont="1" applyFill="1" applyBorder="1" applyAlignment="1" applyProtection="1">
      <alignment horizontal="right"/>
    </xf>
    <xf numFmtId="37" fontId="27" fillId="0" borderId="37" xfId="1" applyNumberFormat="1" applyFont="1" applyFill="1" applyBorder="1" applyAlignment="1" applyProtection="1">
      <alignment horizontal="right"/>
      <protection locked="0"/>
    </xf>
    <xf numFmtId="37" fontId="27" fillId="0" borderId="37" xfId="1" applyNumberFormat="1" applyFont="1" applyBorder="1"/>
    <xf numFmtId="37" fontId="27" fillId="0" borderId="0" xfId="1" applyNumberFormat="1" applyFont="1"/>
    <xf numFmtId="37" fontId="28" fillId="21" borderId="13" xfId="1" applyNumberFormat="1" applyFont="1" applyFill="1" applyBorder="1"/>
    <xf numFmtId="37" fontId="27" fillId="20" borderId="0" xfId="1" applyNumberFormat="1" applyFont="1" applyFill="1"/>
    <xf numFmtId="164" fontId="32" fillId="2" borderId="0" xfId="2" applyNumberFormat="1" applyFont="1" applyFill="1" applyBorder="1" applyAlignment="1" applyProtection="1">
      <alignment horizontal="left"/>
    </xf>
    <xf numFmtId="37" fontId="28" fillId="2" borderId="37" xfId="1" applyNumberFormat="1" applyFont="1" applyFill="1" applyBorder="1" applyAlignment="1" applyProtection="1">
      <alignment horizontal="right"/>
    </xf>
    <xf numFmtId="37" fontId="28" fillId="2" borderId="0" xfId="1" applyNumberFormat="1" applyFont="1" applyFill="1" applyBorder="1" applyAlignment="1" applyProtection="1">
      <alignment horizontal="right"/>
    </xf>
    <xf numFmtId="37" fontId="28" fillId="20" borderId="0" xfId="1" applyNumberFormat="1" applyFont="1" applyFill="1" applyBorder="1" applyAlignment="1" applyProtection="1">
      <alignment horizontal="right"/>
    </xf>
    <xf numFmtId="164" fontId="33" fillId="0" borderId="0" xfId="2" applyNumberFormat="1" applyFont="1" applyFill="1" applyBorder="1" applyAlignment="1" applyProtection="1">
      <alignment horizontal="left"/>
    </xf>
    <xf numFmtId="37" fontId="28" fillId="0" borderId="37" xfId="1" applyNumberFormat="1" applyFont="1" applyFill="1" applyBorder="1" applyAlignment="1" applyProtection="1">
      <alignment horizontal="right"/>
    </xf>
    <xf numFmtId="37" fontId="28" fillId="0" borderId="0" xfId="1" applyNumberFormat="1" applyFont="1" applyFill="1" applyBorder="1" applyAlignment="1" applyProtection="1">
      <alignment horizontal="right"/>
    </xf>
    <xf numFmtId="164" fontId="33" fillId="0" borderId="7" xfId="2" applyNumberFormat="1" applyFont="1" applyFill="1" applyBorder="1" applyAlignment="1" applyProtection="1"/>
    <xf numFmtId="37" fontId="27" fillId="0" borderId="62" xfId="1" applyNumberFormat="1" applyFont="1" applyFill="1" applyBorder="1" applyAlignment="1" applyProtection="1">
      <alignment horizontal="right"/>
      <protection locked="0"/>
    </xf>
    <xf numFmtId="37" fontId="27" fillId="0" borderId="7" xfId="1" applyNumberFormat="1" applyFont="1" applyFill="1" applyBorder="1" applyAlignment="1" applyProtection="1">
      <alignment horizontal="right"/>
      <protection locked="0"/>
    </xf>
    <xf numFmtId="37" fontId="28" fillId="21" borderId="6" xfId="1" applyNumberFormat="1" applyFont="1" applyFill="1" applyBorder="1" applyAlignment="1" applyProtection="1">
      <alignment horizontal="right"/>
    </xf>
    <xf numFmtId="37" fontId="33" fillId="0" borderId="15" xfId="0" applyNumberFormat="1" applyFont="1" applyBorder="1"/>
    <xf numFmtId="37" fontId="33" fillId="0" borderId="4" xfId="0" applyNumberFormat="1" applyFont="1" applyBorder="1"/>
    <xf numFmtId="37" fontId="27" fillId="0" borderId="4" xfId="0" applyNumberFormat="1" applyFont="1" applyBorder="1"/>
    <xf numFmtId="37" fontId="27" fillId="0" borderId="14" xfId="0" applyNumberFormat="1" applyFont="1" applyBorder="1"/>
    <xf numFmtId="37" fontId="33" fillId="0" borderId="5" xfId="0" applyNumberFormat="1" applyFont="1" applyBorder="1"/>
    <xf numFmtId="37" fontId="33" fillId="0" borderId="0" xfId="0" applyNumberFormat="1" applyFont="1"/>
    <xf numFmtId="37" fontId="27" fillId="0" borderId="0" xfId="0" applyNumberFormat="1" applyFont="1"/>
    <xf numFmtId="37" fontId="27" fillId="0" borderId="12" xfId="0" applyNumberFormat="1" applyFont="1" applyBorder="1"/>
    <xf numFmtId="37" fontId="46" fillId="0" borderId="5" xfId="0" applyNumberFormat="1" applyFont="1" applyBorder="1" applyProtection="1">
      <protection locked="0"/>
    </xf>
    <xf numFmtId="37" fontId="46" fillId="0" borderId="0" xfId="0" applyNumberFormat="1" applyFont="1" applyProtection="1">
      <protection locked="0"/>
    </xf>
    <xf numFmtId="37" fontId="46" fillId="0" borderId="12" xfId="0" applyNumberFormat="1" applyFont="1" applyBorder="1" applyProtection="1">
      <protection locked="0"/>
    </xf>
    <xf numFmtId="37" fontId="32" fillId="8" borderId="2" xfId="0" applyNumberFormat="1" applyFont="1" applyFill="1" applyBorder="1"/>
    <xf numFmtId="37" fontId="32" fillId="8" borderId="18" xfId="0" applyNumberFormat="1" applyFont="1" applyFill="1" applyBorder="1"/>
    <xf numFmtId="37" fontId="28" fillId="8" borderId="18" xfId="0" applyNumberFormat="1" applyFont="1" applyFill="1" applyBorder="1"/>
    <xf numFmtId="37" fontId="28" fillId="8" borderId="1" xfId="0" applyNumberFormat="1" applyFont="1" applyFill="1" applyBorder="1"/>
    <xf numFmtId="37" fontId="32" fillId="8" borderId="1" xfId="0" applyNumberFormat="1" applyFont="1" applyFill="1" applyBorder="1"/>
    <xf numFmtId="37" fontId="33" fillId="21" borderId="46" xfId="0" applyNumberFormat="1" applyFont="1" applyFill="1" applyBorder="1"/>
    <xf numFmtId="37" fontId="33" fillId="21" borderId="16" xfId="0" applyNumberFormat="1" applyFont="1" applyFill="1" applyBorder="1"/>
    <xf numFmtId="37" fontId="33" fillId="21" borderId="47" xfId="0" applyNumberFormat="1" applyFont="1" applyFill="1" applyBorder="1"/>
    <xf numFmtId="37" fontId="33" fillId="0" borderId="12" xfId="0" applyNumberFormat="1" applyFont="1" applyBorder="1"/>
    <xf numFmtId="37" fontId="27" fillId="21" borderId="46" xfId="0" applyNumberFormat="1" applyFont="1" applyFill="1" applyBorder="1"/>
    <xf numFmtId="37" fontId="27" fillId="21" borderId="16" xfId="0" applyNumberFormat="1" applyFont="1" applyFill="1" applyBorder="1"/>
    <xf numFmtId="37" fontId="27" fillId="21" borderId="47" xfId="0" applyNumberFormat="1" applyFont="1" applyFill="1" applyBorder="1"/>
    <xf numFmtId="37" fontId="46" fillId="0" borderId="43" xfId="0" applyNumberFormat="1" applyFont="1" applyBorder="1" applyProtection="1">
      <protection locked="0"/>
    </xf>
    <xf numFmtId="37" fontId="46" fillId="0" borderId="20" xfId="0" applyNumberFormat="1" applyFont="1" applyBorder="1" applyProtection="1">
      <protection locked="0"/>
    </xf>
    <xf numFmtId="37" fontId="46" fillId="0" borderId="42" xfId="0" applyNumberFormat="1" applyFont="1" applyBorder="1" applyProtection="1">
      <protection locked="0"/>
    </xf>
    <xf numFmtId="37" fontId="19" fillId="0" borderId="5" xfId="0" applyNumberFormat="1" applyFont="1" applyBorder="1"/>
    <xf numFmtId="37" fontId="19" fillId="0" borderId="0" xfId="0" applyNumberFormat="1" applyFont="1"/>
    <xf numFmtId="37" fontId="19" fillId="0" borderId="12" xfId="0" applyNumberFormat="1" applyFont="1" applyBorder="1"/>
    <xf numFmtId="37" fontId="27" fillId="0" borderId="5" xfId="0" applyNumberFormat="1" applyFont="1" applyBorder="1"/>
    <xf numFmtId="37" fontId="32" fillId="8" borderId="44" xfId="0" applyNumberFormat="1" applyFont="1" applyFill="1" applyBorder="1"/>
    <xf numFmtId="37" fontId="32" fillId="8" borderId="45" xfId="0" applyNumberFormat="1" applyFont="1" applyFill="1" applyBorder="1"/>
    <xf numFmtId="37" fontId="32" fillId="8" borderId="51" xfId="0" applyNumberFormat="1" applyFont="1" applyFill="1" applyBorder="1"/>
    <xf numFmtId="37" fontId="32" fillId="8" borderId="48" xfId="0" applyNumberFormat="1" applyFont="1" applyFill="1" applyBorder="1"/>
    <xf numFmtId="37" fontId="32" fillId="8" borderId="49" xfId="0" applyNumberFormat="1" applyFont="1" applyFill="1" applyBorder="1"/>
    <xf numFmtId="37" fontId="28" fillId="8" borderId="49" xfId="0" applyNumberFormat="1" applyFont="1" applyFill="1" applyBorder="1"/>
    <xf numFmtId="37" fontId="28" fillId="8" borderId="54" xfId="0" applyNumberFormat="1" applyFont="1" applyFill="1" applyBorder="1"/>
    <xf numFmtId="0" fontId="28" fillId="0" borderId="0" xfId="0" applyFont="1" applyAlignment="1">
      <alignment horizontal="center"/>
    </xf>
    <xf numFmtId="0" fontId="27" fillId="0" borderId="0" xfId="0" applyFont="1" applyAlignment="1">
      <alignment vertical="center"/>
    </xf>
    <xf numFmtId="0" fontId="27" fillId="0" borderId="0" xfId="13" applyFont="1"/>
    <xf numFmtId="0" fontId="28" fillId="0" borderId="15" xfId="0" applyFont="1" applyBorder="1" applyAlignment="1">
      <alignment horizontal="right"/>
    </xf>
    <xf numFmtId="0" fontId="29" fillId="11" borderId="106" xfId="40" applyFont="1" applyBorder="1" applyAlignment="1">
      <alignment horizontal="left"/>
    </xf>
    <xf numFmtId="0" fontId="28" fillId="0" borderId="5" xfId="0" applyFont="1" applyBorder="1" applyAlignment="1">
      <alignment horizontal="right"/>
    </xf>
    <xf numFmtId="14" fontId="29" fillId="12" borderId="0" xfId="0" applyNumberFormat="1" applyFont="1" applyFill="1" applyAlignment="1">
      <alignment horizontal="left"/>
    </xf>
    <xf numFmtId="14" fontId="28" fillId="0" borderId="7" xfId="0" applyNumberFormat="1" applyFont="1" applyBorder="1" applyAlignment="1">
      <alignment horizontal="left"/>
    </xf>
    <xf numFmtId="0" fontId="28" fillId="0" borderId="5" xfId="0" applyFont="1" applyBorder="1" applyAlignment="1">
      <alignment horizontal="center"/>
    </xf>
    <xf numFmtId="0" fontId="28" fillId="0" borderId="20" xfId="0" applyFont="1" applyBorder="1" applyAlignment="1">
      <alignment horizontal="center"/>
    </xf>
    <xf numFmtId="0" fontId="28" fillId="0" borderId="42" xfId="0" applyFont="1" applyBorder="1" applyAlignment="1">
      <alignment horizontal="center" wrapText="1"/>
    </xf>
    <xf numFmtId="0" fontId="27" fillId="0" borderId="5" xfId="0" applyFont="1" applyBorder="1" applyAlignment="1">
      <alignment horizontal="right"/>
    </xf>
    <xf numFmtId="5" fontId="27" fillId="0" borderId="0" xfId="0" applyNumberFormat="1" applyFont="1"/>
    <xf numFmtId="174" fontId="27" fillId="0" borderId="0" xfId="2" applyNumberFormat="1" applyFont="1" applyFill="1" applyBorder="1" applyAlignment="1">
      <alignment wrapText="1"/>
    </xf>
    <xf numFmtId="174" fontId="27" fillId="0" borderId="12" xfId="2" applyNumberFormat="1" applyFont="1" applyFill="1" applyBorder="1" applyAlignment="1">
      <alignment wrapText="1"/>
    </xf>
    <xf numFmtId="5" fontId="27" fillId="0" borderId="7" xfId="0" applyNumberFormat="1" applyFont="1" applyBorder="1"/>
    <xf numFmtId="167" fontId="19" fillId="0" borderId="7" xfId="1" applyNumberFormat="1" applyFont="1" applyBorder="1"/>
    <xf numFmtId="167" fontId="19" fillId="0" borderId="8" xfId="1" applyNumberFormat="1" applyFont="1" applyBorder="1"/>
    <xf numFmtId="0" fontId="27" fillId="0" borderId="5" xfId="0" applyFont="1" applyBorder="1" applyAlignment="1">
      <alignment horizontal="left"/>
    </xf>
    <xf numFmtId="0" fontId="27" fillId="0" borderId="12" xfId="0" applyFont="1" applyBorder="1" applyAlignment="1">
      <alignment horizontal="left"/>
    </xf>
    <xf numFmtId="170" fontId="27" fillId="0" borderId="5" xfId="52" applyFont="1" applyBorder="1" applyAlignment="1">
      <alignment horizontal="right"/>
    </xf>
    <xf numFmtId="170" fontId="27" fillId="0" borderId="0" xfId="52" quotePrefix="1" applyFont="1"/>
    <xf numFmtId="49" fontId="27" fillId="0" borderId="0" xfId="0" applyNumberFormat="1" applyFont="1"/>
    <xf numFmtId="174" fontId="19" fillId="12" borderId="0" xfId="2" applyNumberFormat="1" applyFont="1" applyFill="1" applyBorder="1" applyAlignment="1">
      <alignment wrapText="1"/>
    </xf>
    <xf numFmtId="44" fontId="27" fillId="0" borderId="0" xfId="0" applyNumberFormat="1" applyFont="1"/>
    <xf numFmtId="0" fontId="28" fillId="0" borderId="5" xfId="14" applyFont="1" applyBorder="1" applyAlignment="1">
      <alignment horizontal="center"/>
    </xf>
    <xf numFmtId="0" fontId="28" fillId="0" borderId="0" xfId="14" applyFont="1" applyAlignment="1">
      <alignment horizontal="center"/>
    </xf>
    <xf numFmtId="0" fontId="28" fillId="0" borderId="42" xfId="0" applyFont="1" applyBorder="1" applyAlignment="1">
      <alignment horizontal="center"/>
    </xf>
    <xf numFmtId="0" fontId="27" fillId="0" borderId="5" xfId="0" applyFont="1" applyBorder="1" applyAlignment="1" applyProtection="1">
      <alignment horizontal="right"/>
      <protection locked="0"/>
    </xf>
    <xf numFmtId="0" fontId="27" fillId="0" borderId="0" xfId="15" applyFont="1"/>
    <xf numFmtId="0" fontId="28" fillId="0" borderId="0" xfId="15" applyFont="1"/>
    <xf numFmtId="0" fontId="31" fillId="0" borderId="0" xfId="15" applyFont="1" applyAlignment="1">
      <alignment horizontal="left"/>
    </xf>
    <xf numFmtId="0" fontId="27" fillId="0" borderId="0" xfId="15" applyFont="1" applyAlignment="1">
      <alignment horizontal="left"/>
    </xf>
    <xf numFmtId="0" fontId="31" fillId="0" borderId="0" xfId="15" applyFont="1"/>
    <xf numFmtId="37" fontId="33" fillId="0" borderId="65" xfId="31" applyNumberFormat="1" applyFont="1" applyBorder="1"/>
    <xf numFmtId="37" fontId="33" fillId="0" borderId="37" xfId="31" applyNumberFormat="1" applyFont="1" applyBorder="1"/>
    <xf numFmtId="37" fontId="40" fillId="22" borderId="37" xfId="31" applyNumberFormat="1" applyFont="1" applyFill="1" applyBorder="1"/>
    <xf numFmtId="0" fontId="27" fillId="0" borderId="65" xfId="0" applyFont="1" applyBorder="1"/>
    <xf numFmtId="37" fontId="33" fillId="0" borderId="40" xfId="31" applyNumberFormat="1" applyFont="1" applyBorder="1"/>
    <xf numFmtId="37" fontId="33" fillId="0" borderId="34" xfId="31" applyNumberFormat="1" applyFont="1" applyBorder="1"/>
    <xf numFmtId="37" fontId="40" fillId="22" borderId="34" xfId="31" applyNumberFormat="1" applyFont="1" applyFill="1" applyBorder="1"/>
    <xf numFmtId="0" fontId="27" fillId="0" borderId="40" xfId="0" applyFont="1" applyBorder="1"/>
    <xf numFmtId="0" fontId="27" fillId="0" borderId="15" xfId="0" applyFont="1" applyBorder="1" applyAlignment="1">
      <alignment horizontal="right" vertical="top"/>
    </xf>
    <xf numFmtId="0" fontId="27" fillId="0" borderId="14" xfId="0" applyFont="1" applyBorder="1" applyAlignment="1">
      <alignment vertical="top" wrapText="1"/>
    </xf>
    <xf numFmtId="0" fontId="27" fillId="0" borderId="5" xfId="0" applyFont="1" applyBorder="1" applyAlignment="1">
      <alignment horizontal="right" vertical="top"/>
    </xf>
    <xf numFmtId="0" fontId="27" fillId="0" borderId="12" xfId="0" applyFont="1" applyBorder="1" applyAlignment="1">
      <alignment vertical="top" wrapText="1"/>
    </xf>
    <xf numFmtId="0" fontId="46" fillId="0" borderId="12" xfId="0" applyFont="1" applyBorder="1" applyAlignment="1">
      <alignment vertical="top"/>
    </xf>
    <xf numFmtId="0" fontId="27" fillId="0" borderId="9" xfId="0" applyFont="1" applyBorder="1" applyAlignment="1">
      <alignment horizontal="right" vertical="top"/>
    </xf>
    <xf numFmtId="0" fontId="19" fillId="0" borderId="8" xfId="0" applyFont="1" applyBorder="1" applyAlignment="1">
      <alignment vertical="top" wrapText="1"/>
    </xf>
    <xf numFmtId="165" fontId="19" fillId="0" borderId="5" xfId="8" applyFont="1" applyBorder="1" applyAlignment="1">
      <alignment horizontal="center"/>
    </xf>
    <xf numFmtId="165" fontId="19" fillId="0" borderId="12" xfId="8" applyFont="1" applyBorder="1"/>
    <xf numFmtId="173" fontId="46" fillId="0" borderId="47" xfId="41" applyNumberFormat="1" applyFont="1" applyBorder="1" applyProtection="1">
      <protection locked="0"/>
    </xf>
    <xf numFmtId="173" fontId="28" fillId="2" borderId="1" xfId="42" applyNumberFormat="1" applyFont="1" applyFill="1" applyBorder="1" applyAlignment="1" applyProtection="1">
      <alignment vertical="center"/>
    </xf>
    <xf numFmtId="0" fontId="27" fillId="0" borderId="29" xfId="0" applyFont="1" applyBorder="1"/>
    <xf numFmtId="174" fontId="46" fillId="0" borderId="108" xfId="41" applyNumberFormat="1" applyFont="1" applyBorder="1" applyProtection="1">
      <protection locked="0"/>
    </xf>
    <xf numFmtId="0" fontId="27" fillId="0" borderId="32" xfId="4" applyFont="1" applyBorder="1"/>
    <xf numFmtId="0" fontId="19" fillId="0" borderId="36" xfId="0" applyFont="1" applyBorder="1" applyAlignment="1">
      <alignment horizontal="center"/>
    </xf>
    <xf numFmtId="0" fontId="19" fillId="0" borderId="29" xfId="0" applyFont="1" applyBorder="1"/>
    <xf numFmtId="0" fontId="27" fillId="22" borderId="14" xfId="0" applyFont="1" applyFill="1" applyBorder="1"/>
    <xf numFmtId="173" fontId="28" fillId="2" borderId="13" xfId="42" applyNumberFormat="1" applyFont="1" applyFill="1" applyBorder="1" applyAlignment="1" applyProtection="1">
      <alignment vertical="center"/>
    </xf>
    <xf numFmtId="0" fontId="27" fillId="22" borderId="12" xfId="0" applyFont="1" applyFill="1" applyBorder="1"/>
    <xf numFmtId="173" fontId="46" fillId="0" borderId="42" xfId="41" applyNumberFormat="1" applyFont="1" applyBorder="1" applyProtection="1">
      <protection locked="0"/>
    </xf>
    <xf numFmtId="0" fontId="27" fillId="0" borderId="38" xfId="4" applyFont="1" applyBorder="1"/>
    <xf numFmtId="0" fontId="27" fillId="0" borderId="33" xfId="0" applyFont="1" applyBorder="1"/>
    <xf numFmtId="0" fontId="27" fillId="0" borderId="39" xfId="0" applyFont="1" applyBorder="1"/>
    <xf numFmtId="0" fontId="19" fillId="0" borderId="20" xfId="0" applyFont="1" applyBorder="1"/>
    <xf numFmtId="0" fontId="27" fillId="0" borderId="59" xfId="4" applyFont="1" applyBorder="1"/>
    <xf numFmtId="0" fontId="38" fillId="2" borderId="45" xfId="0" applyFont="1" applyFill="1" applyBorder="1" applyAlignment="1">
      <alignment horizontal="right" vertical="center" wrapText="1"/>
    </xf>
    <xf numFmtId="0" fontId="38" fillId="2" borderId="49" xfId="0" applyFont="1" applyFill="1" applyBorder="1" applyAlignment="1">
      <alignment horizontal="right" vertical="center" wrapText="1"/>
    </xf>
    <xf numFmtId="0" fontId="19" fillId="11" borderId="33" xfId="51" applyFont="1" applyBorder="1" applyAlignment="1">
      <alignment horizontal="center"/>
    </xf>
    <xf numFmtId="0" fontId="27" fillId="0" borderId="89" xfId="0" applyFont="1" applyBorder="1" applyAlignment="1">
      <alignment horizontal="left"/>
    </xf>
    <xf numFmtId="174" fontId="46" fillId="0" borderId="42" xfId="41" applyNumberFormat="1" applyFont="1" applyBorder="1" applyProtection="1">
      <protection locked="0"/>
    </xf>
    <xf numFmtId="0" fontId="19" fillId="11" borderId="10" xfId="51" applyFont="1" applyBorder="1" applyAlignment="1">
      <alignment horizontal="center"/>
    </xf>
    <xf numFmtId="0" fontId="27" fillId="0" borderId="32" xfId="0" applyFont="1" applyBorder="1" applyAlignment="1">
      <alignment horizontal="left"/>
    </xf>
    <xf numFmtId="174" fontId="46" fillId="0" borderId="47" xfId="41" applyNumberFormat="1" applyFont="1" applyBorder="1" applyProtection="1">
      <protection locked="0"/>
    </xf>
    <xf numFmtId="0" fontId="19" fillId="0" borderId="10" xfId="0" applyFont="1" applyBorder="1" applyAlignment="1">
      <alignment horizontal="center"/>
    </xf>
    <xf numFmtId="0" fontId="19" fillId="0" borderId="32" xfId="0" applyFont="1" applyBorder="1" applyAlignment="1">
      <alignment horizontal="left"/>
    </xf>
    <xf numFmtId="0" fontId="19" fillId="11" borderId="28" xfId="51" applyFont="1" applyBorder="1" applyAlignment="1">
      <alignment horizontal="center"/>
    </xf>
    <xf numFmtId="0" fontId="27" fillId="0" borderId="26" xfId="0" applyFont="1" applyBorder="1" applyAlignment="1">
      <alignment horizontal="left"/>
    </xf>
    <xf numFmtId="174" fontId="46" fillId="0" borderId="53" xfId="41" applyNumberFormat="1" applyFont="1" applyBorder="1" applyProtection="1">
      <protection locked="0"/>
    </xf>
    <xf numFmtId="0" fontId="27" fillId="0" borderId="30" xfId="0" applyFont="1" applyBorder="1" applyAlignment="1">
      <alignment horizontal="left"/>
    </xf>
    <xf numFmtId="0" fontId="27" fillId="0" borderId="77" xfId="0" applyFont="1" applyBorder="1" applyAlignment="1">
      <alignment horizontal="left"/>
    </xf>
    <xf numFmtId="0" fontId="27" fillId="0" borderId="10" xfId="0" applyFont="1" applyBorder="1" applyAlignment="1">
      <alignment horizontal="left"/>
    </xf>
    <xf numFmtId="165" fontId="33" fillId="0" borderId="30" xfId="8" applyFont="1" applyBorder="1" applyProtection="1">
      <protection locked="0"/>
    </xf>
    <xf numFmtId="165" fontId="33" fillId="0" borderId="90" xfId="8" applyFont="1" applyBorder="1" applyProtection="1">
      <protection locked="0"/>
    </xf>
    <xf numFmtId="0" fontId="19" fillId="11" borderId="61" xfId="51" applyFont="1" applyBorder="1" applyAlignment="1">
      <alignment horizontal="center"/>
    </xf>
    <xf numFmtId="0" fontId="27" fillId="0" borderId="30" xfId="0" applyFont="1" applyBorder="1"/>
    <xf numFmtId="174" fontId="20" fillId="2" borderId="51" xfId="42" applyNumberFormat="1" applyFont="1" applyFill="1" applyBorder="1"/>
    <xf numFmtId="174" fontId="20" fillId="2" borderId="54" xfId="0" applyNumberFormat="1" applyFont="1" applyFill="1" applyBorder="1"/>
    <xf numFmtId="0" fontId="28" fillId="2" borderId="89" xfId="0" applyFont="1" applyFill="1" applyBorder="1" applyAlignment="1">
      <alignment horizontal="right" vertical="center" wrapText="1"/>
    </xf>
    <xf numFmtId="0" fontId="28" fillId="2" borderId="90" xfId="0" applyFont="1" applyFill="1" applyBorder="1" applyAlignment="1">
      <alignment horizontal="right" vertical="center" wrapText="1"/>
    </xf>
    <xf numFmtId="0" fontId="38" fillId="2" borderId="18" xfId="0" applyFont="1" applyFill="1" applyBorder="1" applyAlignment="1">
      <alignment horizontal="right" vertical="center" wrapText="1"/>
    </xf>
    <xf numFmtId="174" fontId="46" fillId="0" borderId="16" xfId="41" applyNumberFormat="1" applyFont="1" applyBorder="1" applyProtection="1">
      <protection locked="0"/>
    </xf>
    <xf numFmtId="174" fontId="46" fillId="0" borderId="31" xfId="41" applyNumberFormat="1" applyFont="1" applyBorder="1" applyProtection="1">
      <protection locked="0"/>
    </xf>
    <xf numFmtId="0" fontId="19" fillId="0" borderId="10" xfId="0" applyFont="1" applyBorder="1" applyAlignment="1">
      <alignment horizontal="left"/>
    </xf>
    <xf numFmtId="0" fontId="27" fillId="0" borderId="28" xfId="0" applyFont="1" applyBorder="1" applyAlignment="1">
      <alignment horizontal="left"/>
    </xf>
    <xf numFmtId="174" fontId="46" fillId="0" borderId="25" xfId="41" applyNumberFormat="1" applyFont="1" applyBorder="1" applyProtection="1">
      <protection locked="0"/>
    </xf>
    <xf numFmtId="174" fontId="46" fillId="0" borderId="54" xfId="41" applyNumberFormat="1" applyFont="1" applyBorder="1" applyProtection="1">
      <protection locked="0"/>
    </xf>
    <xf numFmtId="174" fontId="20" fillId="2" borderId="51" xfId="42" applyNumberFormat="1" applyFont="1" applyFill="1" applyBorder="1" applyAlignment="1">
      <alignment vertical="center"/>
    </xf>
    <xf numFmtId="174" fontId="20" fillId="2" borderId="54" xfId="0" applyNumberFormat="1" applyFont="1" applyFill="1" applyBorder="1" applyAlignment="1">
      <alignment vertical="center"/>
    </xf>
    <xf numFmtId="0" fontId="38" fillId="2" borderId="18" xfId="22" applyFont="1" applyFill="1" applyBorder="1" applyAlignment="1">
      <alignment horizontal="right" vertical="center" wrapText="1"/>
    </xf>
    <xf numFmtId="0" fontId="38" fillId="2" borderId="45" xfId="22" applyFont="1" applyFill="1" applyBorder="1" applyAlignment="1">
      <alignment horizontal="right" vertical="center" wrapText="1"/>
    </xf>
    <xf numFmtId="0" fontId="38" fillId="2" borderId="49" xfId="22" applyFont="1" applyFill="1" applyBorder="1" applyAlignment="1">
      <alignment horizontal="right" vertical="center" wrapText="1"/>
    </xf>
    <xf numFmtId="174" fontId="20" fillId="2" borderId="1" xfId="42" applyNumberFormat="1" applyFont="1" applyFill="1" applyBorder="1" applyAlignment="1">
      <alignment vertical="center"/>
    </xf>
    <xf numFmtId="0" fontId="28" fillId="2" borderId="64" xfId="22" applyFont="1" applyFill="1" applyBorder="1" applyAlignment="1">
      <alignment horizontal="right" vertical="center" wrapText="1"/>
    </xf>
    <xf numFmtId="174" fontId="28" fillId="2" borderId="51" xfId="42" applyNumberFormat="1" applyFont="1" applyFill="1" applyBorder="1"/>
    <xf numFmtId="174" fontId="28" fillId="2" borderId="54" xfId="42" applyNumberFormat="1" applyFont="1" applyFill="1" applyBorder="1"/>
    <xf numFmtId="0" fontId="28" fillId="2" borderId="89" xfId="22" applyFont="1" applyFill="1" applyBorder="1" applyAlignment="1">
      <alignment horizontal="right" vertical="center" wrapText="1"/>
    </xf>
    <xf numFmtId="0" fontId="28" fillId="2" borderId="90" xfId="22" applyFont="1" applyFill="1" applyBorder="1" applyAlignment="1">
      <alignment horizontal="right" vertical="center" wrapText="1"/>
    </xf>
    <xf numFmtId="173" fontId="28" fillId="2" borderId="14" xfId="42" applyNumberFormat="1" applyFont="1" applyFill="1" applyBorder="1" applyAlignment="1" applyProtection="1">
      <alignment vertical="center"/>
    </xf>
    <xf numFmtId="0" fontId="28" fillId="0" borderId="0" xfId="8" applyNumberFormat="1" applyFont="1" applyAlignment="1">
      <alignment horizontal="left"/>
    </xf>
    <xf numFmtId="1" fontId="28" fillId="3" borderId="0" xfId="1" applyNumberFormat="1" applyFont="1" applyFill="1" applyBorder="1" applyAlignment="1" applyProtection="1">
      <alignment horizontal="right"/>
      <protection locked="0"/>
    </xf>
    <xf numFmtId="1" fontId="28" fillId="3" borderId="11" xfId="1" applyNumberFormat="1" applyFont="1" applyFill="1" applyBorder="1" applyAlignment="1" applyProtection="1">
      <alignment horizontal="right"/>
      <protection locked="0"/>
    </xf>
    <xf numFmtId="37" fontId="28" fillId="3" borderId="0" xfId="1" applyNumberFormat="1" applyFont="1" applyFill="1" applyBorder="1" applyAlignment="1" applyProtection="1">
      <alignment horizontal="right"/>
      <protection locked="0"/>
    </xf>
    <xf numFmtId="37" fontId="28" fillId="3" borderId="11" xfId="1" applyNumberFormat="1" applyFont="1" applyFill="1" applyBorder="1" applyAlignment="1" applyProtection="1">
      <alignment horizontal="right"/>
      <protection locked="0"/>
    </xf>
    <xf numFmtId="37" fontId="28" fillId="3" borderId="7" xfId="1" applyNumberFormat="1" applyFont="1" applyFill="1" applyBorder="1" applyAlignment="1" applyProtection="1">
      <alignment horizontal="right"/>
      <protection locked="0"/>
    </xf>
    <xf numFmtId="37" fontId="28" fillId="3" borderId="6" xfId="1" applyNumberFormat="1" applyFont="1" applyFill="1" applyBorder="1" applyAlignment="1" applyProtection="1">
      <alignment horizontal="right"/>
      <protection locked="0"/>
    </xf>
    <xf numFmtId="37" fontId="28" fillId="3" borderId="15" xfId="1" applyNumberFormat="1" applyFont="1" applyFill="1" applyBorder="1" applyAlignment="1" applyProtection="1">
      <alignment horizontal="right"/>
      <protection locked="0"/>
    </xf>
    <xf numFmtId="37" fontId="28" fillId="3" borderId="13" xfId="1" applyNumberFormat="1" applyFont="1" applyFill="1" applyBorder="1" applyAlignment="1" applyProtection="1">
      <alignment horizontal="right"/>
      <protection locked="0"/>
    </xf>
    <xf numFmtId="37" fontId="28" fillId="3" borderId="5" xfId="1" applyNumberFormat="1" applyFont="1" applyFill="1" applyBorder="1" applyAlignment="1" applyProtection="1">
      <alignment horizontal="right"/>
      <protection locked="0"/>
    </xf>
    <xf numFmtId="37" fontId="28" fillId="3" borderId="9" xfId="1" applyNumberFormat="1" applyFont="1" applyFill="1" applyBorder="1" applyAlignment="1" applyProtection="1">
      <alignment horizontal="right"/>
      <protection locked="0"/>
    </xf>
    <xf numFmtId="37" fontId="28" fillId="2" borderId="5" xfId="1" applyNumberFormat="1" applyFont="1" applyFill="1" applyBorder="1" applyAlignment="1" applyProtection="1">
      <alignment horizontal="right"/>
      <protection locked="0"/>
    </xf>
    <xf numFmtId="37" fontId="28" fillId="3" borderId="2" xfId="1" applyNumberFormat="1" applyFont="1" applyFill="1" applyBorder="1" applyAlignment="1" applyProtection="1">
      <alignment horizontal="right"/>
    </xf>
    <xf numFmtId="37" fontId="28" fillId="3" borderId="11" xfId="1" applyNumberFormat="1" applyFont="1" applyFill="1" applyBorder="1" applyAlignment="1" applyProtection="1">
      <alignment horizontal="right"/>
    </xf>
    <xf numFmtId="37" fontId="28" fillId="3" borderId="17" xfId="1" applyNumberFormat="1" applyFont="1" applyFill="1" applyBorder="1" applyAlignment="1" applyProtection="1">
      <alignment horizontal="right"/>
    </xf>
    <xf numFmtId="37" fontId="28" fillId="3" borderId="5" xfId="1" applyNumberFormat="1" applyFont="1" applyFill="1" applyBorder="1"/>
    <xf numFmtId="37" fontId="28" fillId="3" borderId="11" xfId="1" applyNumberFormat="1" applyFont="1" applyFill="1" applyBorder="1"/>
    <xf numFmtId="37" fontId="28" fillId="3" borderId="5" xfId="1" applyNumberFormat="1" applyFont="1" applyFill="1" applyBorder="1" applyAlignment="1" applyProtection="1">
      <alignment horizontal="right"/>
    </xf>
    <xf numFmtId="165" fontId="18" fillId="27" borderId="13" xfId="8" applyFont="1" applyFill="1" applyBorder="1" applyAlignment="1">
      <alignment horizontal="center"/>
    </xf>
    <xf numFmtId="165" fontId="18" fillId="27" borderId="6" xfId="8" applyFont="1" applyFill="1" applyBorder="1" applyAlignment="1">
      <alignment horizontal="center"/>
    </xf>
    <xf numFmtId="0" fontId="18" fillId="27" borderId="2" xfId="0" applyFont="1" applyFill="1" applyBorder="1" applyProtection="1">
      <protection locked="0"/>
    </xf>
    <xf numFmtId="0" fontId="18" fillId="27" borderId="18" xfId="0" applyFont="1" applyFill="1" applyBorder="1" applyAlignment="1" applyProtection="1">
      <alignment horizontal="right"/>
      <protection locked="0"/>
    </xf>
    <xf numFmtId="14" fontId="18" fillId="27" borderId="18" xfId="0" applyNumberFormat="1" applyFont="1" applyFill="1" applyBorder="1" applyAlignment="1" applyProtection="1">
      <alignment horizontal="left"/>
      <protection locked="0"/>
    </xf>
    <xf numFmtId="0" fontId="18" fillId="27" borderId="1" xfId="0" applyFont="1" applyFill="1" applyBorder="1" applyProtection="1">
      <protection locked="0"/>
    </xf>
    <xf numFmtId="0" fontId="18" fillId="27" borderId="13" xfId="0" applyFont="1" applyFill="1" applyBorder="1" applyAlignment="1">
      <alignment horizontal="center"/>
    </xf>
    <xf numFmtId="0" fontId="18" fillId="27" borderId="11" xfId="0" applyFont="1" applyFill="1" applyBorder="1" applyAlignment="1">
      <alignment horizontal="center"/>
    </xf>
    <xf numFmtId="0" fontId="18" fillId="27" borderId="6" xfId="0" applyFont="1" applyFill="1" applyBorder="1" applyAlignment="1">
      <alignment horizontal="center"/>
    </xf>
    <xf numFmtId="0" fontId="18" fillId="28" borderId="0" xfId="0" applyFont="1" applyFill="1" applyAlignment="1">
      <alignment vertical="center"/>
    </xf>
    <xf numFmtId="0" fontId="21" fillId="28" borderId="2" xfId="0" applyFont="1" applyFill="1" applyBorder="1"/>
    <xf numFmtId="0" fontId="21" fillId="28" borderId="18" xfId="0" applyFont="1" applyFill="1" applyBorder="1"/>
    <xf numFmtId="0" fontId="21" fillId="28" borderId="1" xfId="0" applyFont="1" applyFill="1" applyBorder="1"/>
    <xf numFmtId="0" fontId="18" fillId="28" borderId="2" xfId="15" applyFont="1" applyFill="1" applyBorder="1" applyAlignment="1">
      <alignment horizontal="left"/>
    </xf>
    <xf numFmtId="0" fontId="21" fillId="28" borderId="18" xfId="15" applyFont="1" applyFill="1" applyBorder="1"/>
    <xf numFmtId="0" fontId="18" fillId="28" borderId="2" xfId="0" applyFont="1" applyFill="1" applyBorder="1" applyProtection="1">
      <protection locked="0"/>
    </xf>
    <xf numFmtId="0" fontId="18" fillId="28" borderId="18" xfId="0" applyFont="1" applyFill="1" applyBorder="1"/>
    <xf numFmtId="0" fontId="27" fillId="28" borderId="18" xfId="0" applyFont="1" applyFill="1" applyBorder="1"/>
    <xf numFmtId="0" fontId="27" fillId="28" borderId="1" xfId="0" applyFont="1" applyFill="1" applyBorder="1"/>
    <xf numFmtId="0" fontId="18" fillId="28" borderId="15" xfId="0" applyFont="1" applyFill="1" applyBorder="1" applyAlignment="1" applyProtection="1">
      <alignment horizontal="right"/>
      <protection locked="0"/>
    </xf>
    <xf numFmtId="0" fontId="18" fillId="28" borderId="14" xfId="21" applyFont="1" applyFill="1" applyBorder="1" applyProtection="1">
      <protection locked="0"/>
    </xf>
    <xf numFmtId="0" fontId="18" fillId="28" borderId="4" xfId="0" applyFont="1" applyFill="1" applyBorder="1" applyAlignment="1" applyProtection="1">
      <alignment horizontal="center" wrapText="1"/>
      <protection locked="0"/>
    </xf>
    <xf numFmtId="0" fontId="18" fillId="28" borderId="4" xfId="0" applyFont="1" applyFill="1" applyBorder="1" applyAlignment="1" applyProtection="1">
      <alignment horizontal="center"/>
      <protection locked="0"/>
    </xf>
    <xf numFmtId="0" fontId="18" fillId="28" borderId="14" xfId="0" applyFont="1" applyFill="1" applyBorder="1" applyAlignment="1" applyProtection="1">
      <alignment horizontal="center"/>
      <protection locked="0"/>
    </xf>
    <xf numFmtId="0" fontId="18" fillId="28" borderId="9" xfId="0" applyFont="1" applyFill="1" applyBorder="1" applyAlignment="1" applyProtection="1">
      <alignment horizontal="right"/>
      <protection locked="0"/>
    </xf>
    <xf numFmtId="14" fontId="18" fillId="28" borderId="8" xfId="21" applyNumberFormat="1" applyFont="1" applyFill="1" applyBorder="1" applyAlignment="1" applyProtection="1">
      <alignment horizontal="left"/>
      <protection locked="0"/>
    </xf>
    <xf numFmtId="14" fontId="18" fillId="28" borderId="7" xfId="0" applyNumberFormat="1" applyFont="1" applyFill="1" applyBorder="1" applyAlignment="1" applyProtection="1">
      <alignment horizontal="center"/>
      <protection locked="0"/>
    </xf>
    <xf numFmtId="14" fontId="18" fillId="28" borderId="8" xfId="0" applyNumberFormat="1" applyFont="1" applyFill="1" applyBorder="1" applyAlignment="1" applyProtection="1">
      <alignment horizontal="center"/>
      <protection locked="0"/>
    </xf>
    <xf numFmtId="165" fontId="18" fillId="28" borderId="2" xfId="8" applyFont="1" applyFill="1" applyBorder="1" applyProtection="1">
      <protection locked="0"/>
    </xf>
    <xf numFmtId="165" fontId="21" fillId="28" borderId="1" xfId="8" applyFont="1" applyFill="1" applyBorder="1" applyProtection="1">
      <protection locked="0"/>
    </xf>
    <xf numFmtId="166" fontId="18" fillId="28" borderId="15" xfId="8" applyNumberFormat="1" applyFont="1" applyFill="1" applyBorder="1" applyAlignment="1">
      <alignment horizontal="center"/>
    </xf>
    <xf numFmtId="166" fontId="18" fillId="28" borderId="4" xfId="8" applyNumberFormat="1" applyFont="1" applyFill="1" applyBorder="1" applyAlignment="1">
      <alignment horizontal="center"/>
    </xf>
    <xf numFmtId="166" fontId="18" fillId="28" borderId="43" xfId="8" applyNumberFormat="1" applyFont="1" applyFill="1" applyBorder="1" applyAlignment="1">
      <alignment horizontal="center"/>
    </xf>
    <xf numFmtId="166" fontId="18" fillId="28" borderId="20" xfId="8" applyNumberFormat="1" applyFont="1" applyFill="1" applyBorder="1" applyAlignment="1">
      <alignment horizontal="center"/>
    </xf>
    <xf numFmtId="165" fontId="18" fillId="28" borderId="65" xfId="8" applyFont="1" applyFill="1" applyBorder="1" applyAlignment="1" applyProtection="1">
      <alignment horizontal="center" vertical="center" wrapText="1"/>
      <protection locked="0"/>
    </xf>
    <xf numFmtId="165" fontId="18" fillId="28" borderId="41" xfId="8" applyFont="1" applyFill="1" applyBorder="1" applyAlignment="1" applyProtection="1">
      <alignment horizontal="center" vertical="center" wrapText="1"/>
      <protection locked="0"/>
    </xf>
    <xf numFmtId="43" fontId="18" fillId="28" borderId="59" xfId="1" applyFont="1" applyFill="1" applyBorder="1" applyAlignment="1" applyProtection="1">
      <alignment horizontal="center" vertical="center" wrapText="1"/>
      <protection locked="0"/>
    </xf>
    <xf numFmtId="43" fontId="18" fillId="28" borderId="101" xfId="1" applyFont="1" applyFill="1" applyBorder="1" applyAlignment="1" applyProtection="1">
      <alignment horizontal="center" vertical="center" wrapText="1"/>
      <protection locked="0"/>
    </xf>
    <xf numFmtId="0" fontId="18" fillId="28" borderId="2" xfId="21" applyFont="1" applyFill="1" applyBorder="1" applyProtection="1">
      <protection locked="0"/>
    </xf>
    <xf numFmtId="0" fontId="18" fillId="28" borderId="18" xfId="21" applyFont="1" applyFill="1" applyBorder="1" applyProtection="1">
      <protection locked="0"/>
    </xf>
    <xf numFmtId="0" fontId="21" fillId="28" borderId="18" xfId="21" applyFont="1" applyFill="1" applyBorder="1" applyProtection="1">
      <protection locked="0"/>
    </xf>
    <xf numFmtId="0" fontId="21" fillId="28" borderId="1" xfId="21" applyFont="1" applyFill="1" applyBorder="1" applyProtection="1">
      <protection locked="0"/>
    </xf>
    <xf numFmtId="0" fontId="18" fillId="28" borderId="13" xfId="21" applyFont="1" applyFill="1" applyBorder="1" applyAlignment="1" applyProtection="1">
      <alignment horizontal="center" wrapText="1"/>
      <protection locked="0"/>
    </xf>
    <xf numFmtId="14" fontId="18" fillId="28" borderId="11" xfId="21" applyNumberFormat="1" applyFont="1" applyFill="1" applyBorder="1" applyAlignment="1">
      <alignment horizontal="center" wrapText="1"/>
    </xf>
    <xf numFmtId="14" fontId="18" fillId="28" borderId="12" xfId="21" applyNumberFormat="1" applyFont="1" applyFill="1" applyBorder="1" applyAlignment="1">
      <alignment horizontal="center" wrapText="1"/>
    </xf>
    <xf numFmtId="0" fontId="18" fillId="28" borderId="13" xfId="0" applyFont="1" applyFill="1" applyBorder="1" applyAlignment="1">
      <alignment horizontal="center"/>
    </xf>
    <xf numFmtId="0" fontId="18" fillId="28" borderId="41" xfId="0" applyFont="1" applyFill="1" applyBorder="1" applyAlignment="1">
      <alignment horizontal="center"/>
    </xf>
    <xf numFmtId="14" fontId="18" fillId="28" borderId="6" xfId="0" applyNumberFormat="1" applyFont="1" applyFill="1" applyBorder="1" applyAlignment="1">
      <alignment horizontal="center"/>
    </xf>
    <xf numFmtId="0" fontId="18" fillId="28" borderId="15" xfId="0" applyFont="1" applyFill="1" applyBorder="1"/>
    <xf numFmtId="0" fontId="21" fillId="28" borderId="0" xfId="0" applyFont="1" applyFill="1"/>
    <xf numFmtId="0" fontId="21" fillId="28" borderId="4" xfId="0" applyFont="1" applyFill="1" applyBorder="1"/>
    <xf numFmtId="0" fontId="21" fillId="28" borderId="0" xfId="21" applyFont="1" applyFill="1" applyProtection="1">
      <protection locked="0"/>
    </xf>
    <xf numFmtId="43" fontId="21" fillId="28" borderId="12" xfId="27" applyFont="1" applyFill="1" applyBorder="1" applyProtection="1">
      <protection locked="0"/>
    </xf>
    <xf numFmtId="0" fontId="18" fillId="28" borderId="5" xfId="0" applyFont="1" applyFill="1" applyBorder="1"/>
    <xf numFmtId="164" fontId="21" fillId="28" borderId="0" xfId="0" applyNumberFormat="1" applyFont="1" applyFill="1"/>
    <xf numFmtId="9" fontId="21" fillId="28" borderId="4" xfId="39" applyFont="1" applyFill="1" applyBorder="1"/>
    <xf numFmtId="0" fontId="18" fillId="28" borderId="65" xfId="21" applyFont="1" applyFill="1" applyBorder="1" applyAlignment="1" applyProtection="1">
      <alignment horizontal="center"/>
      <protection locked="0"/>
    </xf>
    <xf numFmtId="0" fontId="18" fillId="28" borderId="40" xfId="21" applyFont="1" applyFill="1" applyBorder="1" applyAlignment="1" applyProtection="1">
      <alignment horizontal="center" wrapText="1"/>
      <protection locked="0"/>
    </xf>
    <xf numFmtId="0" fontId="18" fillId="28" borderId="17" xfId="0" applyFont="1" applyFill="1" applyBorder="1" applyAlignment="1">
      <alignment horizontal="center"/>
    </xf>
    <xf numFmtId="0" fontId="18" fillId="28" borderId="24" xfId="0" applyFont="1" applyFill="1" applyBorder="1" applyAlignment="1">
      <alignment horizontal="center"/>
    </xf>
    <xf numFmtId="0" fontId="18" fillId="28" borderId="63" xfId="0" applyFont="1" applyFill="1" applyBorder="1" applyAlignment="1">
      <alignment horizontal="center"/>
    </xf>
    <xf numFmtId="0" fontId="18" fillId="28" borderId="15" xfId="0" applyFont="1" applyFill="1" applyBorder="1" applyAlignment="1">
      <alignment horizontal="center" vertical="center" wrapText="1"/>
    </xf>
    <xf numFmtId="0" fontId="18" fillId="28" borderId="40" xfId="0" applyFont="1" applyFill="1" applyBorder="1" applyAlignment="1">
      <alignment horizontal="center" vertical="center" wrapText="1"/>
    </xf>
    <xf numFmtId="0" fontId="18" fillId="28" borderId="100" xfId="0" applyFont="1" applyFill="1" applyBorder="1" applyAlignment="1">
      <alignment horizontal="center" vertical="center" wrapText="1"/>
    </xf>
    <xf numFmtId="0" fontId="18" fillId="28" borderId="13" xfId="0" applyFont="1" applyFill="1" applyBorder="1" applyAlignment="1">
      <alignment horizontal="center" vertical="center" wrapText="1"/>
    </xf>
    <xf numFmtId="0" fontId="18" fillId="28" borderId="24" xfId="21" applyFont="1" applyFill="1" applyBorder="1" applyAlignment="1" applyProtection="1">
      <alignment horizontal="center" vertical="center"/>
      <protection locked="0"/>
    </xf>
    <xf numFmtId="0" fontId="18" fillId="28" borderId="35" xfId="21" applyFont="1" applyFill="1" applyBorder="1" applyAlignment="1" applyProtection="1">
      <alignment horizontal="center" vertical="center"/>
      <protection locked="0"/>
    </xf>
    <xf numFmtId="0" fontId="18" fillId="28" borderId="2" xfId="21" applyFont="1" applyFill="1" applyBorder="1" applyAlignment="1" applyProtection="1">
      <alignment horizontal="right"/>
      <protection locked="0"/>
    </xf>
    <xf numFmtId="0" fontId="18" fillId="28" borderId="1" xfId="0" applyFont="1" applyFill="1" applyBorder="1" applyAlignment="1">
      <alignment horizontal="left" indent="1"/>
    </xf>
    <xf numFmtId="0" fontId="18" fillId="28" borderId="40" xfId="21" applyFont="1" applyFill="1" applyBorder="1" applyAlignment="1" applyProtection="1">
      <alignment horizontal="center"/>
      <protection locked="0"/>
    </xf>
    <xf numFmtId="0" fontId="21" fillId="28" borderId="18" xfId="29" applyFont="1" applyFill="1" applyBorder="1"/>
    <xf numFmtId="0" fontId="18" fillId="28" borderId="65" xfId="4" applyFont="1" applyFill="1" applyBorder="1" applyAlignment="1" applyProtection="1">
      <alignment horizontal="center" vertical="center"/>
      <protection locked="0"/>
    </xf>
    <xf numFmtId="0" fontId="18" fillId="28" borderId="14" xfId="4" applyFont="1" applyFill="1" applyBorder="1" applyAlignment="1" applyProtection="1">
      <alignment horizontal="center" vertical="center"/>
      <protection locked="0"/>
    </xf>
    <xf numFmtId="14" fontId="18" fillId="28" borderId="62" xfId="4" applyNumberFormat="1" applyFont="1" applyFill="1" applyBorder="1" applyAlignment="1">
      <alignment horizontal="center" vertical="center"/>
    </xf>
    <xf numFmtId="14" fontId="18" fillId="28" borderId="8" xfId="4" applyNumberFormat="1" applyFont="1" applyFill="1" applyBorder="1" applyAlignment="1">
      <alignment horizontal="center" vertical="center"/>
    </xf>
    <xf numFmtId="0" fontId="18" fillId="28" borderId="13" xfId="32" applyFont="1" applyFill="1" applyBorder="1" applyAlignment="1">
      <alignment horizontal="center" vertical="center"/>
    </xf>
    <xf numFmtId="0" fontId="18" fillId="28" borderId="2" xfId="21" applyFont="1" applyFill="1" applyBorder="1" applyAlignment="1" applyProtection="1">
      <alignment horizontal="left"/>
      <protection locked="0"/>
    </xf>
    <xf numFmtId="0" fontId="21" fillId="28" borderId="1" xfId="29" applyFont="1" applyFill="1" applyBorder="1" applyAlignment="1">
      <alignment horizontal="center"/>
    </xf>
    <xf numFmtId="0" fontId="18" fillId="28" borderId="14" xfId="4" applyFont="1" applyFill="1" applyBorder="1" applyAlignment="1" applyProtection="1">
      <alignment vertical="center"/>
      <protection locked="0"/>
    </xf>
    <xf numFmtId="0" fontId="18" fillId="28" borderId="2" xfId="11" applyFont="1" applyFill="1" applyBorder="1"/>
    <xf numFmtId="0" fontId="18" fillId="28" borderId="18" xfId="11" quotePrefix="1" applyFont="1" applyFill="1" applyBorder="1"/>
    <xf numFmtId="14" fontId="18" fillId="28" borderId="1" xfId="11" applyNumberFormat="1" applyFont="1" applyFill="1" applyBorder="1" applyAlignment="1">
      <alignment horizontal="center"/>
    </xf>
    <xf numFmtId="14" fontId="18" fillId="28" borderId="17" xfId="11" applyNumberFormat="1" applyFont="1" applyFill="1" applyBorder="1" applyAlignment="1">
      <alignment horizontal="center"/>
    </xf>
    <xf numFmtId="0" fontId="18" fillId="28" borderId="17" xfId="11" applyFont="1" applyFill="1" applyBorder="1" applyAlignment="1">
      <alignment horizontal="center"/>
    </xf>
    <xf numFmtId="0" fontId="18" fillId="28" borderId="2" xfId="0" applyFont="1" applyFill="1" applyBorder="1"/>
    <xf numFmtId="42" fontId="21" fillId="28" borderId="1" xfId="0" applyNumberFormat="1" applyFont="1" applyFill="1" applyBorder="1"/>
    <xf numFmtId="0" fontId="18" fillId="28" borderId="2" xfId="4" applyFont="1" applyFill="1" applyBorder="1"/>
    <xf numFmtId="0" fontId="18" fillId="28" borderId="18" xfId="4" applyFont="1" applyFill="1" applyBorder="1"/>
    <xf numFmtId="42" fontId="21" fillId="28" borderId="1" xfId="4" applyNumberFormat="1" applyFont="1" applyFill="1" applyBorder="1"/>
    <xf numFmtId="42" fontId="18" fillId="28" borderId="1" xfId="4" applyNumberFormat="1" applyFont="1" applyFill="1" applyBorder="1"/>
    <xf numFmtId="165" fontId="18" fillId="28" borderId="2" xfId="8" applyFont="1" applyFill="1" applyBorder="1"/>
    <xf numFmtId="165" fontId="18" fillId="28" borderId="18" xfId="8" applyFont="1" applyFill="1" applyBorder="1"/>
    <xf numFmtId="42" fontId="21" fillId="28" borderId="1" xfId="1" applyNumberFormat="1" applyFont="1" applyFill="1" applyBorder="1"/>
    <xf numFmtId="0" fontId="53" fillId="28" borderId="18" xfId="0" applyFont="1" applyFill="1" applyBorder="1"/>
    <xf numFmtId="174" fontId="18" fillId="28" borderId="1" xfId="0" applyNumberFormat="1" applyFont="1" applyFill="1" applyBorder="1"/>
    <xf numFmtId="0" fontId="18" fillId="28" borderId="2" xfId="22" applyFont="1" applyFill="1" applyBorder="1"/>
    <xf numFmtId="0" fontId="18" fillId="28" borderId="18" xfId="22" applyFont="1" applyFill="1" applyBorder="1"/>
    <xf numFmtId="174" fontId="27" fillId="28" borderId="1" xfId="22" applyNumberFormat="1" applyFont="1" applyFill="1" applyBorder="1"/>
    <xf numFmtId="174" fontId="18" fillId="28" borderId="1" xfId="22" applyNumberFormat="1" applyFont="1" applyFill="1" applyBorder="1"/>
    <xf numFmtId="0" fontId="18" fillId="28" borderId="9" xfId="22" applyFont="1" applyFill="1" applyBorder="1"/>
    <xf numFmtId="0" fontId="18" fillId="28" borderId="7" xfId="22" applyFont="1" applyFill="1" applyBorder="1"/>
    <xf numFmtId="165" fontId="27" fillId="28" borderId="18" xfId="8" applyFont="1" applyFill="1" applyBorder="1"/>
    <xf numFmtId="174" fontId="45" fillId="28" borderId="1" xfId="8" applyNumberFormat="1" applyFont="1" applyFill="1" applyBorder="1" applyAlignment="1">
      <alignment horizontal="right"/>
    </xf>
    <xf numFmtId="0" fontId="21" fillId="28" borderId="18" xfId="11" applyFont="1" applyFill="1" applyBorder="1"/>
    <xf numFmtId="0" fontId="21" fillId="28" borderId="1" xfId="11" applyFont="1" applyFill="1" applyBorder="1"/>
    <xf numFmtId="165" fontId="18" fillId="28" borderId="2" xfId="8" applyFont="1" applyFill="1" applyBorder="1" applyAlignment="1" applyProtection="1">
      <alignment horizontal="left"/>
      <protection locked="0"/>
    </xf>
    <xf numFmtId="165" fontId="21" fillId="28" borderId="18" xfId="8" applyFont="1" applyFill="1" applyBorder="1"/>
    <xf numFmtId="174" fontId="18" fillId="28" borderId="1" xfId="8" applyNumberFormat="1" applyFont="1" applyFill="1" applyBorder="1" applyAlignment="1">
      <alignment horizontal="right"/>
    </xf>
    <xf numFmtId="165" fontId="18" fillId="28" borderId="15" xfId="8" applyFont="1" applyFill="1" applyBorder="1"/>
    <xf numFmtId="165" fontId="21" fillId="28" borderId="4" xfId="8" applyFont="1" applyFill="1" applyBorder="1"/>
    <xf numFmtId="167" fontId="21" fillId="28" borderId="4" xfId="1" applyNumberFormat="1" applyFont="1" applyFill="1" applyBorder="1" applyAlignment="1" applyProtection="1">
      <alignment horizontal="center"/>
    </xf>
    <xf numFmtId="167" fontId="21" fillId="28" borderId="14" xfId="1" applyNumberFormat="1" applyFont="1" applyFill="1" applyBorder="1" applyAlignment="1" applyProtection="1">
      <alignment horizontal="center"/>
    </xf>
    <xf numFmtId="165" fontId="18" fillId="28" borderId="9" xfId="8" applyFont="1" applyFill="1" applyBorder="1" applyAlignment="1">
      <alignment vertical="center"/>
    </xf>
    <xf numFmtId="165" fontId="18" fillId="28" borderId="7" xfId="8" applyFont="1" applyFill="1" applyBorder="1" applyAlignment="1">
      <alignment vertical="center"/>
    </xf>
    <xf numFmtId="165" fontId="18" fillId="28" borderId="7" xfId="8" applyFont="1" applyFill="1" applyBorder="1" applyAlignment="1">
      <alignment horizontal="right" vertical="center"/>
    </xf>
    <xf numFmtId="165" fontId="18" fillId="28" borderId="7" xfId="8" applyFont="1" applyFill="1" applyBorder="1" applyAlignment="1">
      <alignment horizontal="left" vertical="center"/>
    </xf>
    <xf numFmtId="165" fontId="18" fillId="28" borderId="8" xfId="8" applyFont="1" applyFill="1" applyBorder="1" applyAlignment="1">
      <alignment horizontal="right" vertical="center"/>
    </xf>
    <xf numFmtId="165" fontId="18" fillId="28" borderId="24" xfId="8" applyFont="1" applyFill="1" applyBorder="1" applyAlignment="1" applyProtection="1">
      <alignment horizontal="center" vertical="center" wrapText="1"/>
      <protection locked="0"/>
    </xf>
    <xf numFmtId="165" fontId="18" fillId="28" borderId="35" xfId="8" applyFont="1" applyFill="1" applyBorder="1" applyAlignment="1" applyProtection="1">
      <alignment horizontal="center" vertical="center" wrapText="1"/>
      <protection locked="0"/>
    </xf>
    <xf numFmtId="43" fontId="18" fillId="28" borderId="24" xfId="1" applyFont="1" applyFill="1" applyBorder="1" applyAlignment="1" applyProtection="1">
      <alignment horizontal="center" vertical="center" wrapText="1"/>
      <protection locked="0"/>
    </xf>
    <xf numFmtId="43" fontId="18" fillId="28" borderId="60" xfId="1" applyFont="1" applyFill="1" applyBorder="1" applyAlignment="1" applyProtection="1">
      <alignment horizontal="center" vertical="center" wrapText="1"/>
      <protection locked="0"/>
    </xf>
    <xf numFmtId="165" fontId="18" fillId="28" borderId="15" xfId="8" applyFont="1" applyFill="1" applyBorder="1" applyProtection="1">
      <protection locked="0"/>
    </xf>
    <xf numFmtId="165" fontId="21" fillId="28" borderId="4" xfId="8" applyFont="1" applyFill="1" applyBorder="1" applyProtection="1">
      <protection locked="0"/>
    </xf>
    <xf numFmtId="167" fontId="21" fillId="28" borderId="4" xfId="1" applyNumberFormat="1" applyFont="1" applyFill="1" applyBorder="1" applyAlignment="1" applyProtection="1">
      <alignment horizontal="center"/>
      <protection locked="0"/>
    </xf>
    <xf numFmtId="167" fontId="21" fillId="28" borderId="14" xfId="1" applyNumberFormat="1" applyFont="1" applyFill="1" applyBorder="1" applyAlignment="1" applyProtection="1">
      <alignment horizontal="center"/>
      <protection locked="0"/>
    </xf>
    <xf numFmtId="165" fontId="18" fillId="28" borderId="9" xfId="8" applyFont="1" applyFill="1" applyBorder="1" applyAlignment="1" applyProtection="1">
      <alignment vertical="center"/>
      <protection locked="0"/>
    </xf>
    <xf numFmtId="165" fontId="21" fillId="28" borderId="7" xfId="8" applyFont="1" applyFill="1" applyBorder="1" applyAlignment="1" applyProtection="1">
      <alignment vertical="center"/>
      <protection locked="0"/>
    </xf>
    <xf numFmtId="167" fontId="21" fillId="28" borderId="7" xfId="1" applyNumberFormat="1" applyFont="1" applyFill="1" applyBorder="1" applyAlignment="1" applyProtection="1">
      <alignment horizontal="center" vertical="center"/>
      <protection locked="0"/>
    </xf>
    <xf numFmtId="167" fontId="21" fillId="28" borderId="7" xfId="1" applyNumberFormat="1" applyFont="1" applyFill="1" applyBorder="1" applyAlignment="1" applyProtection="1">
      <alignment horizontal="center"/>
      <protection locked="0"/>
    </xf>
    <xf numFmtId="165" fontId="21" fillId="28" borderId="7" xfId="8" applyFont="1" applyFill="1" applyBorder="1" applyProtection="1">
      <protection locked="0"/>
    </xf>
    <xf numFmtId="165" fontId="18" fillId="28" borderId="7" xfId="8" applyFont="1" applyFill="1" applyBorder="1" applyAlignment="1">
      <alignment horizontal="right"/>
    </xf>
    <xf numFmtId="165" fontId="18" fillId="28" borderId="0" xfId="8" applyFont="1" applyFill="1" applyProtection="1">
      <protection locked="0"/>
    </xf>
    <xf numFmtId="165" fontId="21" fillId="28" borderId="0" xfId="8" applyFont="1" applyFill="1" applyProtection="1">
      <protection locked="0"/>
    </xf>
    <xf numFmtId="167" fontId="21" fillId="28" borderId="0" xfId="1" applyNumberFormat="1" applyFont="1" applyFill="1" applyAlignment="1" applyProtection="1">
      <alignment horizontal="center"/>
      <protection locked="0"/>
    </xf>
    <xf numFmtId="165" fontId="18" fillId="28" borderId="0" xfId="8" applyFont="1" applyFill="1" applyAlignment="1" applyProtection="1">
      <alignment vertical="center"/>
      <protection locked="0"/>
    </xf>
    <xf numFmtId="165" fontId="21" fillId="28" borderId="0" xfId="8" applyFont="1" applyFill="1" applyAlignment="1" applyProtection="1">
      <alignment vertical="center"/>
      <protection locked="0"/>
    </xf>
    <xf numFmtId="165" fontId="18" fillId="28" borderId="0" xfId="8" applyFont="1" applyFill="1" applyAlignment="1">
      <alignment horizontal="right"/>
    </xf>
    <xf numFmtId="42" fontId="45" fillId="28" borderId="18" xfId="8" applyNumberFormat="1" applyFont="1" applyFill="1" applyBorder="1" applyAlignment="1">
      <alignment horizontal="right"/>
    </xf>
    <xf numFmtId="165" fontId="27" fillId="28" borderId="1" xfId="8" applyFont="1" applyFill="1" applyBorder="1"/>
    <xf numFmtId="0" fontId="18" fillId="28" borderId="13" xfId="0" applyFont="1" applyFill="1" applyBorder="1" applyAlignment="1">
      <alignment horizontal="center" wrapText="1"/>
    </xf>
    <xf numFmtId="0" fontId="18" fillId="28" borderId="14" xfId="0" applyFont="1" applyFill="1" applyBorder="1" applyAlignment="1">
      <alignment horizontal="center"/>
    </xf>
    <xf numFmtId="0" fontId="18" fillId="28" borderId="2" xfId="0" applyFont="1" applyFill="1" applyBorder="1" applyAlignment="1">
      <alignment horizontal="center" vertical="center" wrapText="1"/>
    </xf>
    <xf numFmtId="0" fontId="18" fillId="28" borderId="17" xfId="0" applyFont="1" applyFill="1" applyBorder="1" applyAlignment="1">
      <alignment horizontal="center" vertical="center" wrapText="1"/>
    </xf>
    <xf numFmtId="14" fontId="18" fillId="28" borderId="8" xfId="0" applyNumberFormat="1" applyFont="1" applyFill="1" applyBorder="1" applyAlignment="1">
      <alignment horizontal="center"/>
    </xf>
    <xf numFmtId="0" fontId="18" fillId="28" borderId="91" xfId="0" applyFont="1" applyFill="1" applyBorder="1" applyAlignment="1">
      <alignment horizontal="center" wrapText="1"/>
    </xf>
    <xf numFmtId="0" fontId="18" fillId="28" borderId="91" xfId="0" applyFont="1" applyFill="1" applyBorder="1" applyAlignment="1">
      <alignment horizontal="center"/>
    </xf>
    <xf numFmtId="14" fontId="18" fillId="28" borderId="12" xfId="0" applyNumberFormat="1" applyFont="1" applyFill="1" applyBorder="1" applyAlignment="1">
      <alignment horizontal="center"/>
    </xf>
    <xf numFmtId="14" fontId="18" fillId="28" borderId="11" xfId="0" applyNumberFormat="1" applyFont="1" applyFill="1" applyBorder="1" applyAlignment="1">
      <alignment horizontal="center"/>
    </xf>
    <xf numFmtId="0" fontId="18" fillId="28" borderId="6" xfId="0" applyFont="1" applyFill="1" applyBorder="1" applyAlignment="1">
      <alignment horizontal="center"/>
    </xf>
    <xf numFmtId="0" fontId="18" fillId="28" borderId="24" xfId="0" applyFont="1" applyFill="1" applyBorder="1" applyAlignment="1">
      <alignment horizontal="center" vertical="center"/>
    </xf>
    <xf numFmtId="0" fontId="18" fillId="28" borderId="2" xfId="57" applyFont="1" applyFill="1" applyBorder="1"/>
    <xf numFmtId="0" fontId="21" fillId="28" borderId="18" xfId="57" applyFont="1" applyFill="1" applyBorder="1"/>
    <xf numFmtId="0" fontId="21" fillId="28" borderId="1" xfId="57" applyFont="1" applyFill="1" applyBorder="1"/>
    <xf numFmtId="0" fontId="18" fillId="28" borderId="24" xfId="57" applyFont="1" applyFill="1" applyBorder="1" applyAlignment="1">
      <alignment horizontal="center" vertical="center"/>
    </xf>
    <xf numFmtId="0" fontId="18" fillId="28" borderId="64" xfId="57" applyFont="1" applyFill="1" applyBorder="1" applyAlignment="1">
      <alignment horizontal="center" vertical="center" wrapText="1"/>
    </xf>
    <xf numFmtId="0" fontId="18" fillId="28" borderId="63" xfId="57" applyFont="1" applyFill="1" applyBorder="1" applyAlignment="1">
      <alignment horizontal="center" vertical="center" wrapText="1"/>
    </xf>
    <xf numFmtId="0" fontId="18" fillId="28" borderId="35" xfId="57" applyFont="1" applyFill="1" applyBorder="1" applyAlignment="1">
      <alignment horizontal="center" vertical="center" wrapText="1"/>
    </xf>
    <xf numFmtId="0" fontId="18" fillId="28" borderId="2" xfId="57" applyFont="1" applyFill="1" applyBorder="1" applyAlignment="1">
      <alignment horizontal="left" vertical="center" wrapText="1"/>
    </xf>
    <xf numFmtId="0" fontId="18" fillId="28" borderId="18" xfId="57" applyFont="1" applyFill="1" applyBorder="1" applyAlignment="1">
      <alignment horizontal="left" vertical="center" wrapText="1"/>
    </xf>
    <xf numFmtId="0" fontId="18" fillId="28" borderId="18" xfId="57" applyFont="1" applyFill="1" applyBorder="1"/>
    <xf numFmtId="0" fontId="18" fillId="28" borderId="1" xfId="57" applyFont="1" applyFill="1" applyBorder="1"/>
    <xf numFmtId="0" fontId="18" fillId="28" borderId="11" xfId="0" applyFont="1" applyFill="1" applyBorder="1" applyAlignment="1">
      <alignment horizontal="center"/>
    </xf>
    <xf numFmtId="167" fontId="21" fillId="28" borderId="18" xfId="1" applyNumberFormat="1" applyFont="1" applyFill="1" applyBorder="1"/>
    <xf numFmtId="167" fontId="21" fillId="28" borderId="1" xfId="1" applyNumberFormat="1" applyFont="1" applyFill="1" applyBorder="1"/>
    <xf numFmtId="0" fontId="18" fillId="28" borderId="18" xfId="0" applyFont="1" applyFill="1" applyBorder="1" applyAlignment="1" applyProtection="1">
      <alignment horizontal="right"/>
      <protection locked="0"/>
    </xf>
    <xf numFmtId="14" fontId="18" fillId="28" borderId="18" xfId="0" applyNumberFormat="1" applyFont="1" applyFill="1" applyBorder="1" applyAlignment="1" applyProtection="1">
      <alignment horizontal="left"/>
      <protection locked="0"/>
    </xf>
    <xf numFmtId="0" fontId="18" fillId="28" borderId="1" xfId="0" applyFont="1" applyFill="1" applyBorder="1" applyProtection="1">
      <protection locked="0"/>
    </xf>
    <xf numFmtId="0" fontId="21" fillId="28" borderId="1" xfId="0" applyFont="1" applyFill="1" applyBorder="1" applyAlignment="1">
      <alignment wrapText="1"/>
    </xf>
    <xf numFmtId="165" fontId="21" fillId="28" borderId="1" xfId="8" applyFont="1" applyFill="1" applyBorder="1"/>
    <xf numFmtId="165" fontId="18" fillId="28" borderId="65" xfId="8" applyFont="1" applyFill="1" applyBorder="1" applyAlignment="1">
      <alignment horizontal="center"/>
    </xf>
    <xf numFmtId="165" fontId="18" fillId="28" borderId="4" xfId="8" applyFont="1" applyFill="1" applyBorder="1" applyAlignment="1">
      <alignment horizontal="center"/>
    </xf>
    <xf numFmtId="165" fontId="18" fillId="28" borderId="62" xfId="8" applyFont="1" applyFill="1" applyBorder="1" applyAlignment="1">
      <alignment horizontal="center"/>
    </xf>
    <xf numFmtId="165" fontId="18" fillId="28" borderId="7" xfId="8" applyFont="1" applyFill="1" applyBorder="1" applyAlignment="1">
      <alignment horizontal="center"/>
    </xf>
    <xf numFmtId="0" fontId="29" fillId="28" borderId="1" xfId="21" applyFont="1" applyFill="1" applyBorder="1" applyProtection="1">
      <protection locked="0"/>
    </xf>
    <xf numFmtId="164" fontId="18" fillId="28" borderId="13" xfId="2" applyNumberFormat="1" applyFont="1" applyFill="1" applyBorder="1" applyAlignment="1">
      <alignment horizontal="center"/>
    </xf>
    <xf numFmtId="164" fontId="18" fillId="28" borderId="4" xfId="2" applyNumberFormat="1" applyFont="1" applyFill="1" applyBorder="1" applyAlignment="1">
      <alignment horizontal="center"/>
    </xf>
    <xf numFmtId="164" fontId="18" fillId="28" borderId="6" xfId="2" applyNumberFormat="1" applyFont="1" applyFill="1" applyBorder="1" applyAlignment="1">
      <alignment horizontal="center"/>
    </xf>
    <xf numFmtId="164" fontId="18" fillId="28" borderId="64" xfId="2" applyNumberFormat="1" applyFont="1" applyFill="1" applyBorder="1" applyAlignment="1">
      <alignment horizontal="center"/>
    </xf>
    <xf numFmtId="164" fontId="18" fillId="28" borderId="18" xfId="2" applyNumberFormat="1" applyFont="1" applyFill="1" applyBorder="1" applyAlignment="1">
      <alignment horizontal="center"/>
    </xf>
    <xf numFmtId="164" fontId="18" fillId="28" borderId="7" xfId="2" applyNumberFormat="1" applyFont="1" applyFill="1" applyBorder="1" applyAlignment="1">
      <alignment horizontal="center"/>
    </xf>
    <xf numFmtId="0" fontId="18" fillId="28" borderId="2" xfId="50" applyFont="1" applyFill="1" applyBorder="1" applyAlignment="1">
      <alignment horizontal="left"/>
    </xf>
    <xf numFmtId="0" fontId="21" fillId="28" borderId="18" xfId="50" applyFont="1" applyFill="1" applyBorder="1"/>
    <xf numFmtId="44" fontId="21" fillId="28" borderId="18" xfId="50" applyNumberFormat="1" applyFont="1" applyFill="1" applyBorder="1"/>
    <xf numFmtId="44" fontId="21" fillId="28" borderId="1" xfId="50" applyNumberFormat="1" applyFont="1" applyFill="1" applyBorder="1"/>
    <xf numFmtId="0" fontId="18" fillId="28" borderId="31" xfId="55" applyFont="1" applyFill="1" applyBorder="1"/>
    <xf numFmtId="0" fontId="21" fillId="28" borderId="16" xfId="55" applyFont="1" applyFill="1" applyBorder="1"/>
    <xf numFmtId="0" fontId="18" fillId="28" borderId="2" xfId="55" applyFont="1" applyFill="1" applyBorder="1"/>
    <xf numFmtId="172" fontId="18" fillId="28" borderId="18" xfId="0" applyNumberFormat="1" applyFont="1" applyFill="1" applyBorder="1"/>
    <xf numFmtId="40" fontId="18" fillId="28" borderId="1" xfId="39" applyNumberFormat="1" applyFont="1" applyFill="1" applyBorder="1"/>
    <xf numFmtId="49" fontId="18" fillId="28" borderId="2" xfId="55" applyNumberFormat="1" applyFont="1" applyFill="1" applyBorder="1"/>
    <xf numFmtId="174" fontId="18" fillId="28" borderId="18" xfId="0" applyNumberFormat="1" applyFont="1" applyFill="1" applyBorder="1"/>
    <xf numFmtId="174" fontId="18" fillId="28" borderId="1" xfId="39" applyNumberFormat="1" applyFont="1" applyFill="1" applyBorder="1"/>
    <xf numFmtId="10" fontId="18" fillId="28" borderId="18" xfId="12" applyNumberFormat="1" applyFont="1" applyFill="1" applyBorder="1"/>
    <xf numFmtId="0" fontId="18" fillId="28" borderId="2" xfId="7" applyFont="1" applyFill="1" applyBorder="1" applyProtection="1">
      <protection locked="0"/>
    </xf>
    <xf numFmtId="0" fontId="21" fillId="28" borderId="18" xfId="7" applyFont="1" applyFill="1" applyBorder="1" applyProtection="1">
      <protection locked="0"/>
    </xf>
    <xf numFmtId="0" fontId="27" fillId="28" borderId="18" xfId="7" applyFont="1" applyFill="1" applyBorder="1" applyAlignment="1" applyProtection="1">
      <alignment horizontal="center"/>
      <protection locked="0"/>
    </xf>
    <xf numFmtId="0" fontId="27" fillId="28" borderId="1" xfId="7" applyFont="1" applyFill="1" applyBorder="1" applyProtection="1">
      <protection locked="0"/>
    </xf>
    <xf numFmtId="17" fontId="18" fillId="28" borderId="24" xfId="7" applyNumberFormat="1" applyFont="1" applyFill="1" applyBorder="1" applyAlignment="1">
      <alignment horizontal="center"/>
    </xf>
    <xf numFmtId="17" fontId="18" fillId="28" borderId="63" xfId="7" applyNumberFormat="1" applyFont="1" applyFill="1" applyBorder="1" applyAlignment="1">
      <alignment horizontal="center"/>
    </xf>
    <xf numFmtId="17" fontId="18" fillId="28" borderId="60" xfId="7" applyNumberFormat="1" applyFont="1" applyFill="1" applyBorder="1" applyAlignment="1">
      <alignment horizontal="center"/>
    </xf>
    <xf numFmtId="17" fontId="18" fillId="28" borderId="17" xfId="7" applyNumberFormat="1" applyFont="1" applyFill="1" applyBorder="1" applyAlignment="1">
      <alignment horizontal="center"/>
    </xf>
    <xf numFmtId="17" fontId="18" fillId="28" borderId="24" xfId="7" applyNumberFormat="1" applyFont="1" applyFill="1" applyBorder="1" applyAlignment="1" applyProtection="1">
      <alignment horizontal="center" wrapText="1"/>
      <protection locked="0"/>
    </xf>
    <xf numFmtId="17" fontId="18" fillId="28" borderId="35" xfId="7" applyNumberFormat="1" applyFont="1" applyFill="1" applyBorder="1" applyAlignment="1" applyProtection="1">
      <alignment horizontal="center" wrapText="1"/>
      <protection locked="0"/>
    </xf>
    <xf numFmtId="0" fontId="18" fillId="28" borderId="18" xfId="7" applyFont="1" applyFill="1" applyBorder="1" applyAlignment="1">
      <alignment horizontal="center" wrapText="1"/>
    </xf>
    <xf numFmtId="0" fontId="18" fillId="28" borderId="24" xfId="7" applyFont="1" applyFill="1" applyBorder="1" applyAlignment="1" applyProtection="1">
      <alignment horizontal="center" vertical="center"/>
      <protection locked="0"/>
    </xf>
    <xf numFmtId="0" fontId="18" fillId="28" borderId="63" xfId="7" applyFont="1" applyFill="1" applyBorder="1" applyAlignment="1" applyProtection="1">
      <alignment horizontal="center" vertical="center"/>
      <protection locked="0"/>
    </xf>
    <xf numFmtId="0" fontId="18" fillId="28" borderId="63" xfId="7" applyFont="1" applyFill="1" applyBorder="1" applyAlignment="1" applyProtection="1">
      <alignment horizontal="center" vertical="center" wrapText="1"/>
      <protection locked="0"/>
    </xf>
    <xf numFmtId="0" fontId="18" fillId="28" borderId="35" xfId="7" applyFont="1" applyFill="1" applyBorder="1" applyAlignment="1" applyProtection="1">
      <alignment horizontal="center" vertical="center" wrapText="1"/>
      <protection locked="0"/>
    </xf>
    <xf numFmtId="0" fontId="18" fillId="28" borderId="18" xfId="7" applyFont="1" applyFill="1" applyBorder="1" applyAlignment="1" applyProtection="1">
      <alignment vertical="center"/>
      <protection locked="0"/>
    </xf>
    <xf numFmtId="0" fontId="27" fillId="28" borderId="2" xfId="7" applyFont="1" applyFill="1" applyBorder="1" applyProtection="1">
      <protection locked="0"/>
    </xf>
    <xf numFmtId="0" fontId="27" fillId="28" borderId="18" xfId="7" applyFont="1" applyFill="1" applyBorder="1" applyProtection="1">
      <protection locked="0"/>
    </xf>
    <xf numFmtId="164" fontId="27" fillId="28" borderId="18" xfId="5" applyNumberFormat="1" applyFont="1" applyFill="1" applyBorder="1" applyAlignment="1" applyProtection="1">
      <protection locked="0"/>
    </xf>
    <xf numFmtId="0" fontId="27" fillId="28" borderId="5" xfId="7" applyFont="1" applyFill="1" applyBorder="1" applyProtection="1">
      <protection locked="0"/>
    </xf>
    <xf numFmtId="0" fontId="27" fillId="28" borderId="0" xfId="7" applyFont="1" applyFill="1" applyAlignment="1" applyProtection="1">
      <alignment horizontal="center"/>
      <protection locked="0"/>
    </xf>
    <xf numFmtId="0" fontId="27" fillId="28" borderId="0" xfId="7" applyFont="1" applyFill="1" applyProtection="1">
      <protection locked="0"/>
    </xf>
    <xf numFmtId="164" fontId="27" fillId="28" borderId="0" xfId="5" applyNumberFormat="1" applyFont="1" applyFill="1" applyBorder="1" applyAlignment="1" applyProtection="1">
      <protection locked="0"/>
    </xf>
    <xf numFmtId="0" fontId="27" fillId="28" borderId="0" xfId="7" applyFont="1" applyFill="1" applyAlignment="1" applyProtection="1">
      <alignment horizontal="left"/>
      <protection locked="0"/>
    </xf>
    <xf numFmtId="0" fontId="27" fillId="28" borderId="12" xfId="7" applyFont="1" applyFill="1" applyBorder="1" applyAlignment="1" applyProtection="1">
      <alignment horizontal="left"/>
      <protection locked="0"/>
    </xf>
    <xf numFmtId="0" fontId="27" fillId="28" borderId="18" xfId="7" applyFont="1" applyFill="1" applyBorder="1" applyAlignment="1" applyProtection="1">
      <alignment wrapText="1"/>
      <protection locked="0"/>
    </xf>
    <xf numFmtId="164" fontId="27" fillId="28" borderId="18" xfId="5" applyNumberFormat="1" applyFont="1" applyFill="1" applyBorder="1" applyProtection="1">
      <protection locked="0"/>
    </xf>
    <xf numFmtId="0" fontId="18" fillId="28" borderId="2" xfId="0" applyFont="1" applyFill="1" applyBorder="1" applyAlignment="1" applyProtection="1">
      <alignment horizontal="left"/>
      <protection locked="0"/>
    </xf>
    <xf numFmtId="0" fontId="18" fillId="28" borderId="17" xfId="0" applyFont="1" applyFill="1" applyBorder="1" applyAlignment="1" applyProtection="1">
      <alignment horizontal="centerContinuous"/>
      <protection locked="0"/>
    </xf>
    <xf numFmtId="0" fontId="18" fillId="30" borderId="4" xfId="0" applyFont="1" applyFill="1" applyBorder="1" applyAlignment="1" applyProtection="1">
      <alignment horizontal="center"/>
      <protection locked="0"/>
    </xf>
    <xf numFmtId="14" fontId="18" fillId="30" borderId="4" xfId="0" applyNumberFormat="1" applyFont="1" applyFill="1" applyBorder="1" applyAlignment="1" applyProtection="1">
      <alignment horizontal="center"/>
      <protection locked="0"/>
    </xf>
    <xf numFmtId="0" fontId="21" fillId="30" borderId="4" xfId="0" applyFont="1" applyFill="1" applyBorder="1"/>
    <xf numFmtId="0" fontId="21" fillId="30" borderId="14" xfId="0" applyFont="1" applyFill="1" applyBorder="1"/>
    <xf numFmtId="166" fontId="18" fillId="30" borderId="2" xfId="8" applyNumberFormat="1" applyFont="1" applyFill="1" applyBorder="1" applyAlignment="1">
      <alignment horizontal="center"/>
    </xf>
    <xf numFmtId="14" fontId="18" fillId="30" borderId="18" xfId="8" applyNumberFormat="1" applyFont="1" applyFill="1" applyBorder="1" applyAlignment="1">
      <alignment horizontal="center"/>
    </xf>
    <xf numFmtId="166" fontId="28" fillId="30" borderId="18" xfId="8" applyNumberFormat="1" applyFont="1" applyFill="1" applyBorder="1"/>
    <xf numFmtId="165" fontId="27" fillId="30" borderId="18" xfId="8" applyFont="1" applyFill="1" applyBorder="1"/>
    <xf numFmtId="165" fontId="27" fillId="30" borderId="1" xfId="8" applyFont="1" applyFill="1" applyBorder="1"/>
    <xf numFmtId="0" fontId="18" fillId="30" borderId="17" xfId="21" applyFont="1" applyFill="1" applyBorder="1" applyAlignment="1" applyProtection="1">
      <alignment horizontal="center" vertical="center" wrapText="1"/>
      <protection locked="0"/>
    </xf>
    <xf numFmtId="0" fontId="18" fillId="30" borderId="37" xfId="22" applyFont="1" applyFill="1" applyBorder="1" applyAlignment="1">
      <alignment horizontal="center"/>
    </xf>
    <xf numFmtId="0" fontId="18" fillId="30" borderId="34" xfId="21" applyFont="1" applyFill="1" applyBorder="1" applyAlignment="1" applyProtection="1">
      <alignment horizontal="center"/>
      <protection locked="0"/>
    </xf>
    <xf numFmtId="0" fontId="18" fillId="30" borderId="0" xfId="22" applyFont="1" applyFill="1" applyAlignment="1">
      <alignment horizontal="center"/>
    </xf>
    <xf numFmtId="0" fontId="18" fillId="30" borderId="14" xfId="21" applyFont="1" applyFill="1" applyBorder="1" applyAlignment="1" applyProtection="1">
      <alignment horizontal="center"/>
      <protection locked="0"/>
    </xf>
    <xf numFmtId="0" fontId="18" fillId="30" borderId="2" xfId="0" applyFont="1" applyFill="1" applyBorder="1" applyAlignment="1">
      <alignment horizontal="center"/>
    </xf>
    <xf numFmtId="0" fontId="18" fillId="30" borderId="68" xfId="0" applyFont="1" applyFill="1" applyBorder="1" applyAlignment="1">
      <alignment horizontal="center"/>
    </xf>
    <xf numFmtId="0" fontId="18" fillId="30" borderId="1" xfId="0" applyFont="1" applyFill="1" applyBorder="1" applyAlignment="1">
      <alignment horizontal="center"/>
    </xf>
    <xf numFmtId="0" fontId="18" fillId="30" borderId="65" xfId="21" applyFont="1" applyFill="1" applyBorder="1" applyAlignment="1" applyProtection="1">
      <alignment horizontal="center"/>
      <protection locked="0"/>
    </xf>
    <xf numFmtId="0" fontId="18" fillId="30" borderId="107" xfId="21" applyFont="1" applyFill="1" applyBorder="1" applyAlignment="1" applyProtection="1">
      <alignment horizontal="center"/>
      <protection locked="0"/>
    </xf>
    <xf numFmtId="0" fontId="18" fillId="30" borderId="40" xfId="21" applyFont="1" applyFill="1" applyBorder="1" applyAlignment="1" applyProtection="1">
      <alignment horizontal="center"/>
      <protection locked="0"/>
    </xf>
    <xf numFmtId="0" fontId="18" fillId="30" borderId="41" xfId="21" applyFont="1" applyFill="1" applyBorder="1" applyAlignment="1" applyProtection="1">
      <alignment horizontal="center" wrapText="1"/>
      <protection locked="0"/>
    </xf>
    <xf numFmtId="0" fontId="18" fillId="30" borderId="65" xfId="21" applyFont="1" applyFill="1" applyBorder="1" applyAlignment="1" applyProtection="1">
      <alignment horizontal="center" vertical="center"/>
      <protection locked="0"/>
    </xf>
    <xf numFmtId="0" fontId="18" fillId="30" borderId="40" xfId="21" applyFont="1" applyFill="1" applyBorder="1" applyAlignment="1" applyProtection="1">
      <alignment horizontal="center" vertical="center"/>
      <protection locked="0"/>
    </xf>
    <xf numFmtId="0" fontId="18" fillId="30" borderId="41" xfId="21" applyFont="1" applyFill="1" applyBorder="1" applyAlignment="1" applyProtection="1">
      <alignment horizontal="center" vertical="center" wrapText="1"/>
      <protection locked="0"/>
    </xf>
    <xf numFmtId="0" fontId="18" fillId="30" borderId="41" xfId="21" applyFont="1" applyFill="1" applyBorder="1" applyAlignment="1" applyProtection="1">
      <alignment horizontal="center"/>
      <protection locked="0"/>
    </xf>
    <xf numFmtId="0" fontId="18" fillId="30" borderId="4" xfId="21" applyFont="1" applyFill="1" applyBorder="1" applyAlignment="1" applyProtection="1">
      <alignment horizontal="center"/>
      <protection locked="0"/>
    </xf>
    <xf numFmtId="14" fontId="18" fillId="30" borderId="24" xfId="21" applyNumberFormat="1" applyFont="1" applyFill="1" applyBorder="1" applyAlignment="1">
      <alignment horizontal="center"/>
    </xf>
    <xf numFmtId="14" fontId="18" fillId="30" borderId="63" xfId="21" applyNumberFormat="1" applyFont="1" applyFill="1" applyBorder="1" applyAlignment="1">
      <alignment horizontal="center"/>
    </xf>
    <xf numFmtId="14" fontId="18" fillId="30" borderId="35" xfId="21" applyNumberFormat="1" applyFont="1" applyFill="1" applyBorder="1" applyAlignment="1">
      <alignment horizontal="center"/>
    </xf>
    <xf numFmtId="14" fontId="18" fillId="30" borderId="13" xfId="21" applyNumberFormat="1" applyFont="1" applyFill="1" applyBorder="1" applyAlignment="1">
      <alignment horizontal="center"/>
    </xf>
    <xf numFmtId="0" fontId="18" fillId="30" borderId="17" xfId="21" applyFont="1" applyFill="1" applyBorder="1" applyAlignment="1" applyProtection="1">
      <alignment horizontal="center"/>
      <protection locked="0"/>
    </xf>
    <xf numFmtId="0" fontId="18" fillId="30" borderId="62" xfId="0" applyFont="1" applyFill="1" applyBorder="1" applyAlignment="1">
      <alignment horizontal="center"/>
    </xf>
    <xf numFmtId="0" fontId="18" fillId="30" borderId="39" xfId="0" applyFont="1" applyFill="1" applyBorder="1" applyAlignment="1">
      <alignment horizontal="center"/>
    </xf>
    <xf numFmtId="174" fontId="18" fillId="30" borderId="8" xfId="0" applyNumberFormat="1" applyFont="1" applyFill="1" applyBorder="1" applyAlignment="1">
      <alignment horizontal="center"/>
    </xf>
    <xf numFmtId="0" fontId="18" fillId="30" borderId="105" xfId="0" applyFont="1" applyFill="1" applyBorder="1" applyAlignment="1">
      <alignment horizontal="center"/>
    </xf>
    <xf numFmtId="0" fontId="18" fillId="30" borderId="60" xfId="0" applyFont="1" applyFill="1" applyBorder="1" applyAlignment="1">
      <alignment horizontal="center"/>
    </xf>
    <xf numFmtId="174" fontId="18" fillId="30" borderId="35" xfId="0" applyNumberFormat="1" applyFont="1" applyFill="1" applyBorder="1" applyAlignment="1">
      <alignment horizontal="center"/>
    </xf>
    <xf numFmtId="0" fontId="18" fillId="30" borderId="21" xfId="0" applyFont="1" applyFill="1" applyBorder="1" applyAlignment="1">
      <alignment horizontal="center"/>
    </xf>
    <xf numFmtId="174" fontId="18" fillId="30" borderId="22" xfId="0" applyNumberFormat="1" applyFont="1" applyFill="1" applyBorder="1" applyAlignment="1">
      <alignment horizontal="center"/>
    </xf>
    <xf numFmtId="0" fontId="18" fillId="30" borderId="63" xfId="0" applyFont="1" applyFill="1" applyBorder="1" applyAlignment="1">
      <alignment horizontal="center"/>
    </xf>
    <xf numFmtId="0" fontId="18" fillId="30" borderId="65" xfId="7" applyFont="1" applyFill="1" applyBorder="1" applyAlignment="1">
      <alignment horizontal="center"/>
    </xf>
    <xf numFmtId="0" fontId="18" fillId="30" borderId="40" xfId="7" applyFont="1" applyFill="1" applyBorder="1" applyAlignment="1">
      <alignment horizontal="center"/>
    </xf>
    <xf numFmtId="0" fontId="18" fillId="30" borderId="100" xfId="7" applyFont="1" applyFill="1" applyBorder="1" applyAlignment="1">
      <alignment horizontal="center"/>
    </xf>
    <xf numFmtId="0" fontId="18" fillId="30" borderId="13" xfId="7" applyFont="1" applyFill="1" applyBorder="1" applyAlignment="1">
      <alignment horizontal="center"/>
    </xf>
    <xf numFmtId="165" fontId="18" fillId="30" borderId="2" xfId="8" applyFont="1" applyFill="1" applyBorder="1" applyAlignment="1">
      <alignment horizontal="left"/>
    </xf>
    <xf numFmtId="165" fontId="18" fillId="30" borderId="18" xfId="8" applyFont="1" applyFill="1" applyBorder="1" applyAlignment="1">
      <alignment horizontal="left"/>
    </xf>
    <xf numFmtId="166" fontId="18" fillId="30" borderId="18" xfId="8" applyNumberFormat="1" applyFont="1" applyFill="1" applyBorder="1" applyAlignment="1">
      <alignment horizontal="left"/>
    </xf>
    <xf numFmtId="166" fontId="18" fillId="30" borderId="1" xfId="8" applyNumberFormat="1" applyFont="1" applyFill="1" applyBorder="1" applyAlignment="1">
      <alignment horizontal="left"/>
    </xf>
    <xf numFmtId="165" fontId="18" fillId="30" borderId="17" xfId="8" applyFont="1" applyFill="1" applyBorder="1" applyAlignment="1">
      <alignment horizontal="left"/>
    </xf>
    <xf numFmtId="165" fontId="18" fillId="30" borderId="13" xfId="8" applyFont="1" applyFill="1" applyBorder="1" applyAlignment="1">
      <alignment horizontal="left"/>
    </xf>
    <xf numFmtId="0" fontId="18" fillId="30" borderId="2" xfId="0" applyFont="1" applyFill="1" applyBorder="1" applyProtection="1">
      <protection locked="0"/>
    </xf>
    <xf numFmtId="0" fontId="18" fillId="30" borderId="18" xfId="0" applyFont="1" applyFill="1" applyBorder="1" applyAlignment="1" applyProtection="1">
      <alignment horizontal="right"/>
      <protection locked="0"/>
    </xf>
    <xf numFmtId="14" fontId="18" fillId="30" borderId="18" xfId="0" applyNumberFormat="1" applyFont="1" applyFill="1" applyBorder="1" applyAlignment="1" applyProtection="1">
      <alignment horizontal="left"/>
      <protection locked="0"/>
    </xf>
    <xf numFmtId="0" fontId="18" fillId="30" borderId="1" xfId="0" applyFont="1" applyFill="1" applyBorder="1" applyProtection="1">
      <protection locked="0"/>
    </xf>
    <xf numFmtId="0" fontId="18" fillId="30" borderId="13" xfId="0" applyFont="1" applyFill="1" applyBorder="1" applyAlignment="1">
      <alignment horizontal="center"/>
    </xf>
    <xf numFmtId="0" fontId="18" fillId="30" borderId="11" xfId="0" applyFont="1" applyFill="1" applyBorder="1" applyAlignment="1">
      <alignment horizontal="center"/>
    </xf>
    <xf numFmtId="0" fontId="18" fillId="30" borderId="6" xfId="0" applyFont="1" applyFill="1" applyBorder="1" applyAlignment="1">
      <alignment horizontal="center"/>
    </xf>
    <xf numFmtId="164" fontId="18" fillId="30" borderId="2" xfId="2" applyNumberFormat="1" applyFont="1" applyFill="1" applyBorder="1" applyAlignment="1">
      <alignment horizontal="centerContinuous"/>
    </xf>
    <xf numFmtId="164" fontId="18" fillId="30" borderId="18" xfId="2" applyNumberFormat="1" applyFont="1" applyFill="1" applyBorder="1" applyAlignment="1">
      <alignment horizontal="centerContinuous"/>
    </xf>
    <xf numFmtId="164" fontId="18" fillId="30" borderId="1" xfId="2" applyNumberFormat="1" applyFont="1" applyFill="1" applyBorder="1" applyAlignment="1">
      <alignment horizontal="centerContinuous"/>
    </xf>
    <xf numFmtId="0" fontId="18" fillId="30" borderId="15" xfId="7" applyFont="1" applyFill="1" applyBorder="1" applyAlignment="1" applyProtection="1">
      <alignment horizontal="centerContinuous"/>
      <protection locked="0"/>
    </xf>
    <xf numFmtId="0" fontId="18" fillId="30" borderId="15" xfId="7" applyFont="1" applyFill="1" applyBorder="1" applyAlignment="1" applyProtection="1">
      <alignment horizontal="center" vertical="center"/>
      <protection locked="0"/>
    </xf>
    <xf numFmtId="0" fontId="18" fillId="30" borderId="61" xfId="7" applyFont="1" applyFill="1" applyBorder="1" applyProtection="1">
      <protection locked="0"/>
    </xf>
    <xf numFmtId="168" fontId="18" fillId="30" borderId="28" xfId="7" applyNumberFormat="1" applyFont="1" applyFill="1" applyBorder="1" applyAlignment="1" applyProtection="1">
      <alignment horizontal="left" indent="2"/>
      <protection locked="0"/>
    </xf>
    <xf numFmtId="0" fontId="18" fillId="30" borderId="34" xfId="7" applyFont="1" applyFill="1" applyBorder="1" applyProtection="1">
      <protection locked="0"/>
    </xf>
    <xf numFmtId="168" fontId="18" fillId="30" borderId="61" xfId="7" applyNumberFormat="1" applyFont="1" applyFill="1" applyBorder="1" applyAlignment="1" applyProtection="1">
      <alignment horizontal="left"/>
      <protection locked="0"/>
    </xf>
    <xf numFmtId="168" fontId="18" fillId="30" borderId="33" xfId="7" applyNumberFormat="1" applyFont="1" applyFill="1" applyBorder="1" applyAlignment="1" applyProtection="1">
      <alignment horizontal="left" indent="2"/>
      <protection locked="0"/>
    </xf>
    <xf numFmtId="168" fontId="18" fillId="30" borderId="33" xfId="7" applyNumberFormat="1" applyFont="1" applyFill="1" applyBorder="1" applyAlignment="1" applyProtection="1">
      <alignment horizontal="left"/>
      <protection locked="0"/>
    </xf>
    <xf numFmtId="0" fontId="21" fillId="30" borderId="24" xfId="7" applyFont="1" applyFill="1" applyBorder="1" applyAlignment="1" applyProtection="1">
      <alignment wrapText="1"/>
      <protection locked="0"/>
    </xf>
    <xf numFmtId="168" fontId="18" fillId="30" borderId="63" xfId="7" applyNumberFormat="1" applyFont="1" applyFill="1" applyBorder="1" applyAlignment="1" applyProtection="1">
      <alignment horizontal="left"/>
      <protection locked="0"/>
    </xf>
    <xf numFmtId="168" fontId="18" fillId="30" borderId="6" xfId="7" applyNumberFormat="1" applyFont="1" applyFill="1" applyBorder="1" applyAlignment="1" applyProtection="1">
      <alignment horizontal="center" vertical="center" wrapText="1"/>
      <protection locked="0"/>
    </xf>
    <xf numFmtId="168" fontId="18" fillId="30" borderId="40" xfId="7" applyNumberFormat="1" applyFont="1" applyFill="1" applyBorder="1" applyAlignment="1" applyProtection="1">
      <alignment horizontal="left"/>
      <protection locked="0"/>
    </xf>
    <xf numFmtId="168" fontId="18" fillId="30" borderId="34" xfId="7" applyNumberFormat="1" applyFont="1" applyFill="1" applyBorder="1" applyAlignment="1" applyProtection="1">
      <alignment horizontal="left"/>
      <protection locked="0"/>
    </xf>
    <xf numFmtId="0" fontId="18" fillId="30" borderId="2" xfId="7" applyFont="1" applyFill="1" applyBorder="1" applyAlignment="1" applyProtection="1">
      <alignment wrapText="1"/>
      <protection locked="0"/>
    </xf>
    <xf numFmtId="0" fontId="21" fillId="30" borderId="18" xfId="7" applyFont="1" applyFill="1" applyBorder="1" applyAlignment="1" applyProtection="1">
      <alignment wrapText="1"/>
      <protection locked="0"/>
    </xf>
    <xf numFmtId="0" fontId="21" fillId="30" borderId="1" xfId="7" applyFont="1" applyFill="1" applyBorder="1" applyAlignment="1" applyProtection="1">
      <alignment wrapText="1"/>
      <protection locked="0"/>
    </xf>
    <xf numFmtId="17" fontId="18" fillId="30" borderId="24" xfId="0" applyNumberFormat="1" applyFont="1" applyFill="1" applyBorder="1" applyAlignment="1">
      <alignment horizontal="center"/>
    </xf>
    <xf numFmtId="17" fontId="18" fillId="30" borderId="63" xfId="0" applyNumberFormat="1" applyFont="1" applyFill="1" applyBorder="1" applyAlignment="1">
      <alignment horizontal="center"/>
    </xf>
    <xf numFmtId="17" fontId="18" fillId="30" borderId="60" xfId="0" applyNumberFormat="1" applyFont="1" applyFill="1" applyBorder="1" applyAlignment="1">
      <alignment horizontal="center"/>
    </xf>
    <xf numFmtId="17" fontId="18" fillId="30" borderId="17" xfId="0" applyNumberFormat="1" applyFont="1" applyFill="1" applyBorder="1" applyAlignment="1">
      <alignment horizontal="center"/>
    </xf>
    <xf numFmtId="17" fontId="18" fillId="30" borderId="64" xfId="0" applyNumberFormat="1" applyFont="1" applyFill="1" applyBorder="1" applyAlignment="1">
      <alignment horizontal="center" vertical="center" wrapText="1"/>
    </xf>
    <xf numFmtId="17" fontId="18" fillId="30" borderId="60" xfId="0" applyNumberFormat="1" applyFont="1" applyFill="1" applyBorder="1" applyAlignment="1">
      <alignment horizontal="center" vertical="center" wrapText="1"/>
    </xf>
    <xf numFmtId="17" fontId="18" fillId="30" borderId="17" xfId="0" applyNumberFormat="1" applyFont="1" applyFill="1" applyBorder="1" applyAlignment="1">
      <alignment horizontal="center" wrapText="1"/>
    </xf>
    <xf numFmtId="165" fontId="18" fillId="27" borderId="11" xfId="8" applyFont="1" applyFill="1" applyBorder="1" applyAlignment="1">
      <alignment horizontal="center"/>
    </xf>
    <xf numFmtId="0" fontId="18" fillId="31" borderId="2" xfId="0" applyFont="1" applyFill="1" applyBorder="1" applyAlignment="1">
      <alignment horizontal="center"/>
    </xf>
    <xf numFmtId="0" fontId="54" fillId="31" borderId="18" xfId="0" applyFont="1" applyFill="1" applyBorder="1" applyAlignment="1">
      <alignment horizontal="right"/>
    </xf>
    <xf numFmtId="14" fontId="18" fillId="31" borderId="18" xfId="0" applyNumberFormat="1" applyFont="1" applyFill="1" applyBorder="1" applyAlignment="1">
      <alignment horizontal="left"/>
    </xf>
    <xf numFmtId="0" fontId="18" fillId="31" borderId="1" xfId="0" applyFont="1" applyFill="1" applyBorder="1" applyAlignment="1">
      <alignment horizontal="center"/>
    </xf>
    <xf numFmtId="0" fontId="18" fillId="31" borderId="13" xfId="0" applyFont="1" applyFill="1" applyBorder="1" applyAlignment="1">
      <alignment horizontal="center"/>
    </xf>
    <xf numFmtId="0" fontId="18" fillId="31" borderId="11" xfId="0" applyFont="1" applyFill="1" applyBorder="1" applyAlignment="1">
      <alignment horizontal="center"/>
    </xf>
    <xf numFmtId="0" fontId="18" fillId="31" borderId="6" xfId="0" applyFont="1" applyFill="1" applyBorder="1" applyAlignment="1">
      <alignment horizontal="center"/>
    </xf>
    <xf numFmtId="0" fontId="18" fillId="32" borderId="2" xfId="0" applyFont="1" applyFill="1" applyBorder="1" applyAlignment="1">
      <alignment horizontal="center"/>
    </xf>
    <xf numFmtId="0" fontId="18" fillId="32" borderId="18" xfId="0" applyFont="1" applyFill="1" applyBorder="1" applyAlignment="1">
      <alignment horizontal="right"/>
    </xf>
    <xf numFmtId="14" fontId="18" fillId="32" borderId="18" xfId="0" applyNumberFormat="1" applyFont="1" applyFill="1" applyBorder="1" applyAlignment="1">
      <alignment horizontal="left"/>
    </xf>
    <xf numFmtId="0" fontId="18" fillId="32" borderId="1" xfId="0" applyFont="1" applyFill="1" applyBorder="1" applyAlignment="1">
      <alignment horizontal="center"/>
    </xf>
    <xf numFmtId="0" fontId="18" fillId="32" borderId="13" xfId="0" applyFont="1" applyFill="1" applyBorder="1" applyAlignment="1">
      <alignment horizontal="center"/>
    </xf>
    <xf numFmtId="0" fontId="18" fillId="32" borderId="11" xfId="0" applyFont="1" applyFill="1" applyBorder="1" applyAlignment="1">
      <alignment horizontal="center"/>
    </xf>
    <xf numFmtId="0" fontId="18" fillId="32" borderId="6" xfId="0" applyFont="1" applyFill="1" applyBorder="1" applyAlignment="1">
      <alignment horizontal="center"/>
    </xf>
    <xf numFmtId="0" fontId="18" fillId="28" borderId="8" xfId="50" applyFont="1" applyFill="1" applyBorder="1" applyAlignment="1">
      <alignment horizontal="center"/>
    </xf>
    <xf numFmtId="0" fontId="18" fillId="28" borderId="65" xfId="50" applyFont="1" applyFill="1" applyBorder="1" applyAlignment="1">
      <alignment horizontal="center"/>
    </xf>
    <xf numFmtId="0" fontId="18" fillId="28" borderId="62" xfId="50" applyFont="1" applyFill="1" applyBorder="1" applyAlignment="1">
      <alignment horizontal="center"/>
    </xf>
    <xf numFmtId="0" fontId="18" fillId="28" borderId="40" xfId="50" applyFont="1" applyFill="1" applyBorder="1" applyAlignment="1">
      <alignment horizontal="center"/>
    </xf>
    <xf numFmtId="0" fontId="18" fillId="28" borderId="39" xfId="50" applyFont="1" applyFill="1" applyBorder="1" applyAlignment="1">
      <alignment horizontal="center"/>
    </xf>
    <xf numFmtId="44" fontId="18" fillId="28" borderId="40" xfId="50" applyNumberFormat="1" applyFont="1" applyFill="1" applyBorder="1" applyAlignment="1">
      <alignment horizontal="center"/>
    </xf>
    <xf numFmtId="44" fontId="18" fillId="28" borderId="39" xfId="50" applyNumberFormat="1" applyFont="1" applyFill="1" applyBorder="1" applyAlignment="1">
      <alignment horizontal="center"/>
    </xf>
    <xf numFmtId="0" fontId="18" fillId="28" borderId="14" xfId="50" applyFont="1" applyFill="1" applyBorder="1"/>
    <xf numFmtId="0" fontId="55" fillId="0" borderId="0" xfId="0" applyFont="1" applyAlignment="1">
      <alignment wrapText="1"/>
    </xf>
    <xf numFmtId="168" fontId="18" fillId="30" borderId="11" xfId="7" applyNumberFormat="1" applyFont="1" applyFill="1" applyBorder="1" applyAlignment="1" applyProtection="1">
      <alignment vertical="center" wrapText="1"/>
      <protection locked="0"/>
    </xf>
    <xf numFmtId="0" fontId="21" fillId="30" borderId="12" xfId="7" applyFont="1" applyFill="1" applyBorder="1" applyAlignment="1" applyProtection="1">
      <alignment horizontal="justify"/>
      <protection locked="0"/>
    </xf>
    <xf numFmtId="0" fontId="18" fillId="28" borderId="15" xfId="0" applyFont="1" applyFill="1" applyBorder="1" applyAlignment="1">
      <alignment horizontal="center"/>
    </xf>
    <xf numFmtId="14" fontId="18" fillId="28" borderId="9" xfId="0" applyNumberFormat="1" applyFont="1" applyFill="1" applyBorder="1" applyAlignment="1">
      <alignment horizontal="center"/>
    </xf>
    <xf numFmtId="14" fontId="18" fillId="28" borderId="21" xfId="0" applyNumberFormat="1" applyFont="1" applyFill="1" applyBorder="1" applyAlignment="1">
      <alignment horizontal="center"/>
    </xf>
    <xf numFmtId="0" fontId="18" fillId="28" borderId="100" xfId="0" applyFont="1" applyFill="1" applyBorder="1" applyAlignment="1">
      <alignment horizontal="center"/>
    </xf>
    <xf numFmtId="174" fontId="20" fillId="2" borderId="62" xfId="0" applyNumberFormat="1" applyFont="1" applyFill="1" applyBorder="1"/>
    <xf numFmtId="0" fontId="20" fillId="2" borderId="39" xfId="0" applyFont="1" applyFill="1" applyBorder="1"/>
    <xf numFmtId="0" fontId="20" fillId="2" borderId="7" xfId="0" applyFont="1" applyFill="1" applyBorder="1"/>
    <xf numFmtId="0" fontId="26" fillId="2" borderId="8" xfId="0" applyFont="1" applyFill="1" applyBorder="1"/>
    <xf numFmtId="0" fontId="18" fillId="30" borderId="24" xfId="0" applyFont="1" applyFill="1" applyBorder="1" applyAlignment="1">
      <alignment horizontal="center"/>
    </xf>
    <xf numFmtId="0" fontId="58" fillId="30" borderId="24" xfId="0" applyFont="1" applyFill="1" applyBorder="1" applyAlignment="1">
      <alignment horizontal="center"/>
    </xf>
    <xf numFmtId="174" fontId="19" fillId="0" borderId="42" xfId="1" applyNumberFormat="1" applyFont="1" applyFill="1" applyBorder="1" applyProtection="1">
      <protection locked="0"/>
    </xf>
    <xf numFmtId="165" fontId="33" fillId="0" borderId="32" xfId="8" applyFont="1" applyBorder="1" applyProtection="1">
      <protection locked="0"/>
    </xf>
    <xf numFmtId="174" fontId="18" fillId="28" borderId="1" xfId="8" applyNumberFormat="1" applyFont="1" applyFill="1" applyBorder="1" applyAlignment="1">
      <alignment horizontal="center"/>
    </xf>
    <xf numFmtId="174" fontId="28" fillId="2" borderId="1" xfId="42" applyNumberFormat="1" applyFont="1" applyFill="1" applyBorder="1" applyAlignment="1">
      <alignment vertical="center"/>
    </xf>
    <xf numFmtId="0" fontId="28" fillId="2" borderId="105" xfId="22" applyFont="1" applyFill="1" applyBorder="1" applyAlignment="1">
      <alignment horizontal="right" vertical="center" wrapText="1"/>
    </xf>
    <xf numFmtId="174" fontId="27" fillId="0" borderId="32" xfId="0" applyNumberFormat="1" applyFont="1" applyBorder="1" applyAlignment="1" applyProtection="1">
      <alignment horizontal="left" vertical="top"/>
      <protection locked="0"/>
    </xf>
    <xf numFmtId="174" fontId="27" fillId="0" borderId="27" xfId="0" applyNumberFormat="1" applyFont="1" applyBorder="1" applyAlignment="1" applyProtection="1">
      <alignment horizontal="left" vertical="top"/>
      <protection locked="0"/>
    </xf>
    <xf numFmtId="174" fontId="19" fillId="0" borderId="57" xfId="0" applyNumberFormat="1" applyFont="1" applyBorder="1" applyAlignment="1" applyProtection="1">
      <alignment horizontal="left" vertical="top"/>
      <protection locked="0"/>
    </xf>
    <xf numFmtId="174" fontId="27" fillId="0" borderId="62" xfId="0" applyNumberFormat="1" applyFont="1" applyBorder="1" applyAlignment="1" applyProtection="1">
      <alignment horizontal="left" vertical="top"/>
      <protection locked="0"/>
    </xf>
    <xf numFmtId="174" fontId="19" fillId="0" borderId="61" xfId="0" applyNumberFormat="1" applyFont="1" applyBorder="1" applyAlignment="1" applyProtection="1">
      <alignment horizontal="left" vertical="top"/>
      <protection locked="0"/>
    </xf>
    <xf numFmtId="174" fontId="27" fillId="0" borderId="10" xfId="0" applyNumberFormat="1" applyFont="1" applyBorder="1" applyAlignment="1" applyProtection="1">
      <alignment horizontal="left" vertical="top"/>
      <protection locked="0"/>
    </xf>
    <xf numFmtId="174" fontId="27" fillId="0" borderId="39" xfId="0" applyNumberFormat="1" applyFont="1" applyBorder="1" applyAlignment="1" applyProtection="1">
      <alignment horizontal="left" vertical="top"/>
      <protection locked="0"/>
    </xf>
    <xf numFmtId="174" fontId="19" fillId="0" borderId="20" xfId="0" applyNumberFormat="1" applyFont="1" applyBorder="1" applyAlignment="1" applyProtection="1">
      <alignment horizontal="left" vertical="top"/>
      <protection locked="0"/>
    </xf>
    <xf numFmtId="174" fontId="19" fillId="0" borderId="16" xfId="0" applyNumberFormat="1" applyFont="1" applyBorder="1" applyAlignment="1" applyProtection="1">
      <alignment horizontal="left" vertical="top"/>
      <protection locked="0"/>
    </xf>
    <xf numFmtId="174" fontId="28" fillId="6" borderId="24" xfId="2" applyNumberFormat="1" applyFont="1" applyFill="1" applyBorder="1"/>
    <xf numFmtId="174" fontId="28" fillId="6" borderId="63" xfId="2" applyNumberFormat="1" applyFont="1" applyFill="1" applyBorder="1"/>
    <xf numFmtId="174" fontId="28" fillId="6" borderId="60" xfId="2" applyNumberFormat="1" applyFont="1" applyFill="1" applyBorder="1"/>
    <xf numFmtId="174" fontId="28" fillId="6" borderId="17" xfId="2" applyNumberFormat="1" applyFont="1" applyFill="1" applyBorder="1"/>
    <xf numFmtId="38" fontId="27" fillId="2" borderId="12" xfId="1" applyNumberFormat="1" applyFont="1" applyFill="1" applyBorder="1" applyAlignment="1" applyProtection="1">
      <alignment horizontal="right"/>
      <protection locked="0"/>
    </xf>
    <xf numFmtId="38" fontId="28" fillId="6" borderId="1" xfId="1" applyNumberFormat="1" applyFont="1" applyFill="1" applyBorder="1" applyAlignment="1">
      <alignment horizontal="right"/>
    </xf>
    <xf numFmtId="3" fontId="19" fillId="0" borderId="15" xfId="42" applyNumberFormat="1" applyFont="1" applyBorder="1"/>
    <xf numFmtId="3" fontId="27" fillId="0" borderId="15" xfId="41" applyNumberFormat="1" applyFont="1" applyFill="1" applyBorder="1" applyAlignment="1">
      <alignment horizontal="right"/>
    </xf>
    <xf numFmtId="3" fontId="27" fillId="0" borderId="4" xfId="41" applyNumberFormat="1" applyFont="1" applyFill="1" applyBorder="1" applyAlignment="1">
      <alignment horizontal="right"/>
    </xf>
    <xf numFmtId="3" fontId="19" fillId="0" borderId="4" xfId="41" applyNumberFormat="1" applyFont="1" applyFill="1" applyBorder="1" applyAlignment="1">
      <alignment horizontal="right"/>
    </xf>
    <xf numFmtId="3" fontId="19" fillId="0" borderId="14" xfId="41" applyNumberFormat="1" applyFont="1" applyFill="1" applyBorder="1" applyAlignment="1">
      <alignment horizontal="right"/>
    </xf>
    <xf numFmtId="3" fontId="27" fillId="21" borderId="4" xfId="41" applyNumberFormat="1" applyFont="1" applyFill="1" applyBorder="1" applyAlignment="1">
      <alignment horizontal="right"/>
    </xf>
    <xf numFmtId="3" fontId="19" fillId="0" borderId="5" xfId="42" applyNumberFormat="1" applyFont="1" applyBorder="1"/>
    <xf numFmtId="3" fontId="27" fillId="0" borderId="5" xfId="41" applyNumberFormat="1" applyFont="1" applyFill="1" applyBorder="1" applyAlignment="1">
      <alignment horizontal="right"/>
    </xf>
    <xf numFmtId="3" fontId="27" fillId="0" borderId="0" xfId="41" applyNumberFormat="1" applyFont="1" applyFill="1" applyBorder="1" applyAlignment="1">
      <alignment horizontal="right"/>
    </xf>
    <xf numFmtId="3" fontId="19" fillId="0" borderId="0" xfId="41" applyNumberFormat="1" applyFont="1" applyFill="1" applyBorder="1" applyAlignment="1">
      <alignment horizontal="right"/>
    </xf>
    <xf numFmtId="3" fontId="19" fillId="0" borderId="12" xfId="41" applyNumberFormat="1" applyFont="1" applyFill="1" applyBorder="1" applyAlignment="1">
      <alignment horizontal="right"/>
    </xf>
    <xf numFmtId="3" fontId="27" fillId="21" borderId="0" xfId="41" applyNumberFormat="1" applyFont="1" applyFill="1" applyBorder="1" applyAlignment="1">
      <alignment horizontal="right"/>
    </xf>
    <xf numFmtId="3" fontId="27" fillId="0" borderId="43" xfId="41" applyNumberFormat="1" applyFont="1" applyFill="1" applyBorder="1" applyAlignment="1">
      <alignment horizontal="right"/>
    </xf>
    <xf numFmtId="3" fontId="27" fillId="0" borderId="20" xfId="41" applyNumberFormat="1" applyFont="1" applyFill="1" applyBorder="1" applyAlignment="1">
      <alignment horizontal="right"/>
    </xf>
    <xf numFmtId="3" fontId="20" fillId="2" borderId="46" xfId="42" applyNumberFormat="1" applyFont="1" applyFill="1" applyBorder="1"/>
    <xf numFmtId="3" fontId="19" fillId="2" borderId="43" xfId="41" applyNumberFormat="1" applyFont="1" applyFill="1" applyBorder="1" applyAlignment="1">
      <alignment horizontal="right"/>
    </xf>
    <xf numFmtId="3" fontId="19" fillId="2" borderId="20" xfId="41" applyNumberFormat="1" applyFont="1" applyFill="1" applyBorder="1" applyAlignment="1">
      <alignment horizontal="right"/>
    </xf>
    <xf numFmtId="3" fontId="42" fillId="2" borderId="16" xfId="41" applyNumberFormat="1" applyFont="1" applyFill="1" applyBorder="1" applyAlignment="1">
      <alignment horizontal="right"/>
    </xf>
    <xf numFmtId="3" fontId="42" fillId="2" borderId="47" xfId="41" applyNumberFormat="1" applyFont="1" applyFill="1" applyBorder="1" applyAlignment="1">
      <alignment horizontal="right"/>
    </xf>
    <xf numFmtId="3" fontId="27" fillId="2" borderId="16" xfId="41" applyNumberFormat="1" applyFont="1" applyFill="1" applyBorder="1" applyAlignment="1">
      <alignment horizontal="right"/>
    </xf>
    <xf numFmtId="3" fontId="19" fillId="5" borderId="5" xfId="42" applyNumberFormat="1" applyFont="1" applyFill="1" applyBorder="1"/>
    <xf numFmtId="3" fontId="19" fillId="5" borderId="0" xfId="41" applyNumberFormat="1" applyFont="1" applyFill="1" applyBorder="1" applyAlignment="1">
      <alignment horizontal="right"/>
    </xf>
    <xf numFmtId="3" fontId="19" fillId="5" borderId="12" xfId="41" applyNumberFormat="1" applyFont="1" applyFill="1" applyBorder="1" applyAlignment="1">
      <alignment horizontal="right"/>
    </xf>
    <xf numFmtId="3" fontId="18" fillId="28" borderId="2" xfId="0" applyNumberFormat="1" applyFont="1" applyFill="1" applyBorder="1"/>
    <xf numFmtId="3" fontId="19" fillId="28" borderId="2" xfId="41" applyNumberFormat="1" applyFont="1" applyFill="1" applyBorder="1" applyAlignment="1">
      <alignment horizontal="right"/>
    </xf>
    <xf numFmtId="3" fontId="19" fillId="28" borderId="18" xfId="41" applyNumberFormat="1" applyFont="1" applyFill="1" applyBorder="1" applyAlignment="1">
      <alignment horizontal="right"/>
    </xf>
    <xf numFmtId="3" fontId="19" fillId="28" borderId="1" xfId="41" applyNumberFormat="1" applyFont="1" applyFill="1" applyBorder="1" applyAlignment="1">
      <alignment horizontal="right"/>
    </xf>
    <xf numFmtId="3" fontId="42" fillId="28" borderId="18" xfId="41" applyNumberFormat="1" applyFont="1" applyFill="1" applyBorder="1" applyAlignment="1">
      <alignment horizontal="right"/>
    </xf>
    <xf numFmtId="3" fontId="42" fillId="28" borderId="1" xfId="41" applyNumberFormat="1" applyFont="1" applyFill="1" applyBorder="1" applyAlignment="1">
      <alignment horizontal="right"/>
    </xf>
    <xf numFmtId="3" fontId="40" fillId="0" borderId="7" xfId="41" applyNumberFormat="1" applyFont="1" applyBorder="1" applyAlignment="1">
      <alignment horizontal="center"/>
    </xf>
    <xf numFmtId="3" fontId="19" fillId="0" borderId="0" xfId="41" applyNumberFormat="1" applyFont="1" applyFill="1" applyBorder="1" applyAlignment="1">
      <alignment horizontal="center"/>
    </xf>
    <xf numFmtId="3" fontId="42" fillId="0" borderId="0" xfId="41" applyNumberFormat="1" applyFont="1" applyFill="1" applyBorder="1" applyAlignment="1">
      <alignment horizontal="center"/>
    </xf>
    <xf numFmtId="3" fontId="27" fillId="0" borderId="0" xfId="0" applyNumberFormat="1" applyFont="1"/>
    <xf numFmtId="3" fontId="19" fillId="0" borderId="13" xfId="0" applyNumberFormat="1" applyFont="1" applyBorder="1"/>
    <xf numFmtId="3" fontId="27" fillId="21" borderId="13" xfId="41" applyNumberFormat="1" applyFont="1" applyFill="1" applyBorder="1" applyAlignment="1">
      <alignment horizontal="right"/>
    </xf>
    <xf numFmtId="3" fontId="19" fillId="0" borderId="11" xfId="42" applyNumberFormat="1" applyFont="1" applyBorder="1"/>
    <xf numFmtId="3" fontId="27" fillId="21" borderId="11" xfId="41" applyNumberFormat="1" applyFont="1" applyFill="1" applyBorder="1" applyAlignment="1">
      <alignment horizontal="right"/>
    </xf>
    <xf numFmtId="3" fontId="40" fillId="2" borderId="74" xfId="41" applyNumberFormat="1" applyFont="1" applyFill="1" applyBorder="1" applyAlignment="1">
      <alignment horizontal="center"/>
    </xf>
    <xf numFmtId="3" fontId="27" fillId="2" borderId="46" xfId="41" applyNumberFormat="1" applyFont="1" applyFill="1" applyBorder="1" applyAlignment="1">
      <alignment horizontal="right"/>
    </xf>
    <xf numFmtId="3" fontId="19" fillId="2" borderId="74" xfId="41" applyNumberFormat="1" applyFont="1" applyFill="1" applyBorder="1" applyAlignment="1">
      <alignment horizontal="right"/>
    </xf>
    <xf numFmtId="3" fontId="40" fillId="22" borderId="11" xfId="41" applyNumberFormat="1" applyFont="1" applyFill="1" applyBorder="1" applyAlignment="1">
      <alignment horizontal="center"/>
    </xf>
    <xf numFmtId="3" fontId="27" fillId="22" borderId="52" xfId="41" applyNumberFormat="1" applyFont="1" applyFill="1" applyBorder="1" applyAlignment="1">
      <alignment horizontal="right"/>
    </xf>
    <xf numFmtId="3" fontId="27" fillId="22" borderId="3" xfId="41" applyNumberFormat="1" applyFont="1" applyFill="1" applyBorder="1" applyAlignment="1">
      <alignment horizontal="right"/>
    </xf>
    <xf numFmtId="3" fontId="42" fillId="22" borderId="0" xfId="41" applyNumberFormat="1" applyFont="1" applyFill="1" applyBorder="1" applyAlignment="1">
      <alignment horizontal="right"/>
    </xf>
    <xf numFmtId="3" fontId="19" fillId="22" borderId="11" xfId="41" applyNumberFormat="1" applyFont="1" applyFill="1" applyBorder="1" applyAlignment="1">
      <alignment horizontal="right"/>
    </xf>
    <xf numFmtId="3" fontId="27" fillId="22" borderId="7" xfId="41" applyNumberFormat="1" applyFont="1" applyFill="1" applyBorder="1" applyAlignment="1">
      <alignment horizontal="right"/>
    </xf>
    <xf numFmtId="3" fontId="18" fillId="28" borderId="17" xfId="0" applyNumberFormat="1" applyFont="1" applyFill="1" applyBorder="1"/>
    <xf numFmtId="3" fontId="19" fillId="28" borderId="17" xfId="41" applyNumberFormat="1" applyFont="1" applyFill="1" applyBorder="1" applyAlignment="1">
      <alignment horizontal="right"/>
    </xf>
    <xf numFmtId="3" fontId="40" fillId="0" borderId="0" xfId="41" applyNumberFormat="1" applyFont="1" applyBorder="1" applyAlignment="1">
      <alignment horizontal="center"/>
    </xf>
    <xf numFmtId="3" fontId="19" fillId="0" borderId="13" xfId="41" applyNumberFormat="1" applyFont="1" applyBorder="1" applyAlignment="1">
      <alignment horizontal="right"/>
    </xf>
    <xf numFmtId="3" fontId="27" fillId="0" borderId="65" xfId="41" applyNumberFormat="1" applyFont="1" applyFill="1" applyBorder="1" applyAlignment="1">
      <alignment horizontal="right"/>
    </xf>
    <xf numFmtId="3" fontId="27" fillId="0" borderId="107" xfId="41" applyNumberFormat="1" applyFont="1" applyFill="1" applyBorder="1" applyAlignment="1">
      <alignment horizontal="right"/>
    </xf>
    <xf numFmtId="3" fontId="19" fillId="0" borderId="107" xfId="41" applyNumberFormat="1" applyFont="1" applyFill="1" applyBorder="1" applyAlignment="1">
      <alignment horizontal="right"/>
    </xf>
    <xf numFmtId="3" fontId="27" fillId="21" borderId="15" xfId="41" applyNumberFormat="1" applyFont="1" applyFill="1" applyBorder="1" applyAlignment="1">
      <alignment horizontal="right"/>
    </xf>
    <xf numFmtId="3" fontId="29" fillId="2" borderId="74" xfId="41" applyNumberFormat="1" applyFont="1" applyFill="1" applyBorder="1" applyAlignment="1">
      <alignment horizontal="right"/>
    </xf>
    <xf numFmtId="3" fontId="28" fillId="2" borderId="38" xfId="41" applyNumberFormat="1" applyFont="1" applyFill="1" applyBorder="1" applyAlignment="1">
      <alignment horizontal="right"/>
    </xf>
    <xf numFmtId="3" fontId="28" fillId="2" borderId="32" xfId="41" applyNumberFormat="1" applyFont="1" applyFill="1" applyBorder="1" applyAlignment="1">
      <alignment horizontal="right"/>
    </xf>
    <xf numFmtId="3" fontId="29" fillId="2" borderId="32" xfId="41" applyNumberFormat="1" applyFont="1" applyFill="1" applyBorder="1" applyAlignment="1">
      <alignment horizontal="right"/>
    </xf>
    <xf numFmtId="3" fontId="29" fillId="2" borderId="47" xfId="41" applyNumberFormat="1" applyFont="1" applyFill="1" applyBorder="1" applyAlignment="1">
      <alignment horizontal="right"/>
    </xf>
    <xf numFmtId="3" fontId="28" fillId="2" borderId="46" xfId="41" applyNumberFormat="1" applyFont="1" applyFill="1" applyBorder="1" applyAlignment="1">
      <alignment horizontal="right"/>
    </xf>
    <xf numFmtId="3" fontId="19" fillId="0" borderId="11" xfId="41" applyNumberFormat="1" applyFont="1" applyBorder="1" applyAlignment="1">
      <alignment horizontal="right"/>
    </xf>
    <xf numFmtId="3" fontId="27" fillId="0" borderId="37" xfId="41" applyNumberFormat="1" applyFont="1" applyFill="1" applyBorder="1" applyAlignment="1">
      <alignment horizontal="right"/>
    </xf>
    <xf numFmtId="3" fontId="27" fillId="0" borderId="27" xfId="41" applyNumberFormat="1" applyFont="1" applyFill="1" applyBorder="1" applyAlignment="1">
      <alignment horizontal="right"/>
    </xf>
    <xf numFmtId="3" fontId="19" fillId="0" borderId="27" xfId="41" applyNumberFormat="1" applyFont="1" applyFill="1" applyBorder="1" applyAlignment="1">
      <alignment horizontal="right"/>
    </xf>
    <xf numFmtId="3" fontId="27" fillId="21" borderId="5" xfId="41" applyNumberFormat="1" applyFont="1" applyFill="1" applyBorder="1" applyAlignment="1">
      <alignment horizontal="right"/>
    </xf>
    <xf numFmtId="3" fontId="19" fillId="0" borderId="99" xfId="41" applyNumberFormat="1" applyFont="1" applyBorder="1" applyAlignment="1">
      <alignment horizontal="right"/>
    </xf>
    <xf numFmtId="3" fontId="27" fillId="2" borderId="11" xfId="41" applyNumberFormat="1" applyFont="1" applyFill="1" applyBorder="1" applyAlignment="1">
      <alignment horizontal="right"/>
    </xf>
    <xf numFmtId="3" fontId="27" fillId="2" borderId="97" xfId="41" applyNumberFormat="1" applyFont="1" applyFill="1" applyBorder="1" applyAlignment="1">
      <alignment horizontal="right"/>
    </xf>
    <xf numFmtId="3" fontId="27" fillId="2" borderId="26" xfId="41" applyNumberFormat="1" applyFont="1" applyFill="1" applyBorder="1" applyAlignment="1">
      <alignment horizontal="right"/>
    </xf>
    <xf numFmtId="3" fontId="19" fillId="2" borderId="26" xfId="41" applyNumberFormat="1" applyFont="1" applyFill="1" applyBorder="1" applyAlignment="1">
      <alignment horizontal="right"/>
    </xf>
    <xf numFmtId="3" fontId="19" fillId="2" borderId="53" xfId="41" applyNumberFormat="1" applyFont="1" applyFill="1" applyBorder="1" applyAlignment="1">
      <alignment horizontal="right"/>
    </xf>
    <xf numFmtId="3" fontId="27" fillId="2" borderId="52" xfId="41" applyNumberFormat="1" applyFont="1" applyFill="1" applyBorder="1" applyAlignment="1">
      <alignment horizontal="right"/>
    </xf>
    <xf numFmtId="3" fontId="27" fillId="28" borderId="17" xfId="55" applyNumberFormat="1" applyFont="1" applyFill="1" applyBorder="1"/>
    <xf numFmtId="3" fontId="27" fillId="28" borderId="2" xfId="0" applyNumberFormat="1" applyFont="1" applyFill="1" applyBorder="1"/>
    <xf numFmtId="3" fontId="27" fillId="28" borderId="18" xfId="0" applyNumberFormat="1" applyFont="1" applyFill="1" applyBorder="1"/>
    <xf numFmtId="3" fontId="27" fillId="28" borderId="1" xfId="0" applyNumberFormat="1" applyFont="1" applyFill="1" applyBorder="1"/>
    <xf numFmtId="3" fontId="27" fillId="28" borderId="2" xfId="55" applyNumberFormat="1" applyFont="1" applyFill="1" applyBorder="1"/>
    <xf numFmtId="165" fontId="33" fillId="0" borderId="43" xfId="8" applyFont="1" applyBorder="1" applyProtection="1">
      <protection locked="0"/>
    </xf>
    <xf numFmtId="0" fontId="18" fillId="30" borderId="2" xfId="22" applyFont="1" applyFill="1" applyBorder="1"/>
    <xf numFmtId="165" fontId="18" fillId="30" borderId="64" xfId="8" applyFont="1" applyFill="1" applyBorder="1"/>
    <xf numFmtId="174" fontId="21" fillId="30" borderId="1" xfId="1" applyNumberFormat="1" applyFont="1" applyFill="1" applyBorder="1"/>
    <xf numFmtId="169" fontId="18" fillId="28" borderId="17" xfId="12" applyNumberFormat="1" applyFont="1" applyFill="1" applyBorder="1"/>
    <xf numFmtId="0" fontId="18" fillId="30" borderId="4" xfId="0" applyFont="1" applyFill="1" applyBorder="1" applyAlignment="1">
      <alignment horizontal="center"/>
    </xf>
    <xf numFmtId="0" fontId="18" fillId="30" borderId="100" xfId="0" applyFont="1" applyFill="1" applyBorder="1" applyAlignment="1">
      <alignment horizontal="center"/>
    </xf>
    <xf numFmtId="0" fontId="18" fillId="30" borderId="41" xfId="0" applyFont="1" applyFill="1" applyBorder="1" applyAlignment="1">
      <alignment horizontal="center"/>
    </xf>
    <xf numFmtId="0" fontId="18" fillId="27" borderId="13" xfId="0" applyFont="1" applyFill="1" applyBorder="1" applyAlignment="1">
      <alignment horizontal="center" vertical="center" wrapText="1"/>
    </xf>
    <xf numFmtId="14" fontId="18" fillId="30" borderId="7" xfId="0" applyNumberFormat="1" applyFont="1" applyFill="1" applyBorder="1" applyAlignment="1">
      <alignment horizontal="center"/>
    </xf>
    <xf numFmtId="14" fontId="18" fillId="30" borderId="21" xfId="0" applyNumberFormat="1" applyFont="1" applyFill="1" applyBorder="1" applyAlignment="1">
      <alignment horizontal="center"/>
    </xf>
    <xf numFmtId="14" fontId="18" fillId="30" borderId="22" xfId="0" applyNumberFormat="1" applyFont="1" applyFill="1" applyBorder="1" applyAlignment="1">
      <alignment horizontal="center"/>
    </xf>
    <xf numFmtId="14" fontId="18" fillId="28" borderId="115" xfId="0" applyNumberFormat="1" applyFont="1" applyFill="1" applyBorder="1" applyAlignment="1">
      <alignment horizontal="center"/>
    </xf>
    <xf numFmtId="3" fontId="27" fillId="0" borderId="116" xfId="41" applyNumberFormat="1" applyFont="1" applyFill="1" applyBorder="1" applyAlignment="1">
      <alignment horizontal="right"/>
    </xf>
    <xf numFmtId="3" fontId="27" fillId="0" borderId="117" xfId="41" applyNumberFormat="1" applyFont="1" applyFill="1" applyBorder="1" applyAlignment="1">
      <alignment horizontal="right"/>
    </xf>
    <xf numFmtId="3" fontId="27" fillId="0" borderId="118" xfId="41" applyNumberFormat="1" applyFont="1" applyFill="1" applyBorder="1" applyAlignment="1">
      <alignment horizontal="right"/>
    </xf>
    <xf numFmtId="3" fontId="19" fillId="2" borderId="118" xfId="41" applyNumberFormat="1" applyFont="1" applyFill="1" applyBorder="1" applyAlignment="1">
      <alignment horizontal="right"/>
    </xf>
    <xf numFmtId="3" fontId="19" fillId="28" borderId="119" xfId="41" applyNumberFormat="1" applyFont="1" applyFill="1" applyBorder="1" applyAlignment="1">
      <alignment horizontal="right"/>
    </xf>
    <xf numFmtId="0" fontId="18" fillId="28" borderId="120" xfId="0" applyFont="1" applyFill="1" applyBorder="1" applyAlignment="1">
      <alignment horizontal="center"/>
    </xf>
    <xf numFmtId="3" fontId="27" fillId="2" borderId="121" xfId="41" applyNumberFormat="1" applyFont="1" applyFill="1" applyBorder="1" applyAlignment="1">
      <alignment horizontal="right"/>
    </xf>
    <xf numFmtId="3" fontId="27" fillId="22" borderId="122" xfId="41" applyNumberFormat="1" applyFont="1" applyFill="1" applyBorder="1" applyAlignment="1">
      <alignment horizontal="right"/>
    </xf>
    <xf numFmtId="3" fontId="27" fillId="22" borderId="114" xfId="41" applyNumberFormat="1" applyFont="1" applyFill="1" applyBorder="1" applyAlignment="1">
      <alignment horizontal="right"/>
    </xf>
    <xf numFmtId="3" fontId="28" fillId="2" borderId="121" xfId="41" applyNumberFormat="1" applyFont="1" applyFill="1" applyBorder="1" applyAlignment="1">
      <alignment horizontal="right"/>
    </xf>
    <xf numFmtId="3" fontId="27" fillId="2" borderId="122" xfId="41" applyNumberFormat="1" applyFont="1" applyFill="1" applyBorder="1" applyAlignment="1">
      <alignment horizontal="right"/>
    </xf>
    <xf numFmtId="3" fontId="27" fillId="28" borderId="119" xfId="0" applyNumberFormat="1" applyFont="1" applyFill="1" applyBorder="1"/>
    <xf numFmtId="164" fontId="21" fillId="32" borderId="65" xfId="2" applyNumberFormat="1" applyFont="1" applyFill="1" applyBorder="1" applyAlignment="1">
      <alignment horizontal="center"/>
    </xf>
    <xf numFmtId="164" fontId="21" fillId="32" borderId="107" xfId="2" applyNumberFormat="1" applyFont="1" applyFill="1" applyBorder="1" applyAlignment="1">
      <alignment horizontal="center"/>
    </xf>
    <xf numFmtId="164" fontId="21" fillId="32" borderId="4" xfId="2" applyNumberFormat="1" applyFont="1" applyFill="1" applyBorder="1"/>
    <xf numFmtId="164" fontId="21" fillId="32" borderId="13" xfId="2" applyNumberFormat="1" applyFont="1" applyFill="1" applyBorder="1"/>
    <xf numFmtId="164" fontId="18" fillId="32" borderId="62" xfId="2" applyNumberFormat="1" applyFont="1" applyFill="1" applyBorder="1" applyAlignment="1">
      <alignment horizontal="center"/>
    </xf>
    <xf numFmtId="164" fontId="18" fillId="32" borderId="105" xfId="2" applyNumberFormat="1" applyFont="1" applyFill="1" applyBorder="1" applyAlignment="1">
      <alignment horizontal="center"/>
    </xf>
    <xf numFmtId="164" fontId="18" fillId="32" borderId="7" xfId="2" applyNumberFormat="1" applyFont="1" applyFill="1" applyBorder="1" applyAlignment="1">
      <alignment horizontal="center"/>
    </xf>
    <xf numFmtId="164" fontId="18" fillId="32" borderId="6" xfId="2" applyNumberFormat="1" applyFont="1" applyFill="1" applyBorder="1" applyAlignment="1">
      <alignment horizontal="center"/>
    </xf>
    <xf numFmtId="165" fontId="21" fillId="32" borderId="65" xfId="8" applyFont="1" applyFill="1" applyBorder="1"/>
    <xf numFmtId="165" fontId="21" fillId="32" borderId="107" xfId="8" applyFont="1" applyFill="1" applyBorder="1"/>
    <xf numFmtId="165" fontId="21" fillId="32" borderId="4" xfId="8" applyFont="1" applyFill="1" applyBorder="1"/>
    <xf numFmtId="174" fontId="18" fillId="32" borderId="13" xfId="8" applyNumberFormat="1" applyFont="1" applyFill="1" applyBorder="1"/>
    <xf numFmtId="165" fontId="18" fillId="32" borderId="62" xfId="8" applyFont="1" applyFill="1" applyBorder="1" applyAlignment="1">
      <alignment horizontal="center"/>
    </xf>
    <xf numFmtId="165" fontId="18" fillId="32" borderId="105" xfId="8" applyFont="1" applyFill="1" applyBorder="1" applyAlignment="1">
      <alignment horizontal="center"/>
    </xf>
    <xf numFmtId="165" fontId="18" fillId="32" borderId="7" xfId="8" applyFont="1" applyFill="1" applyBorder="1" applyAlignment="1">
      <alignment horizontal="center"/>
    </xf>
    <xf numFmtId="174" fontId="18" fillId="32" borderId="6" xfId="8" applyNumberFormat="1" applyFont="1" applyFill="1" applyBorder="1" applyAlignment="1">
      <alignment horizontal="center"/>
    </xf>
    <xf numFmtId="0" fontId="18" fillId="32" borderId="24" xfId="0" applyFont="1" applyFill="1" applyBorder="1" applyAlignment="1">
      <alignment horizontal="center"/>
    </xf>
    <xf numFmtId="0" fontId="18" fillId="32" borderId="63" xfId="0" applyFont="1" applyFill="1" applyBorder="1" applyAlignment="1">
      <alignment horizontal="center"/>
    </xf>
    <xf numFmtId="0" fontId="18" fillId="32" borderId="60" xfId="0" applyFont="1" applyFill="1" applyBorder="1" applyAlignment="1">
      <alignment horizontal="center"/>
    </xf>
    <xf numFmtId="174" fontId="18" fillId="32" borderId="17" xfId="0" applyNumberFormat="1" applyFont="1" applyFill="1" applyBorder="1" applyAlignment="1">
      <alignment horizontal="center"/>
    </xf>
    <xf numFmtId="0" fontId="18" fillId="27" borderId="17" xfId="21" applyFont="1" applyFill="1" applyBorder="1" applyAlignment="1" applyProtection="1">
      <alignment horizontal="center" wrapText="1"/>
      <protection locked="0"/>
    </xf>
    <xf numFmtId="0" fontId="18" fillId="27" borderId="17" xfId="21" applyFont="1" applyFill="1" applyBorder="1" applyAlignment="1" applyProtection="1">
      <alignment horizontal="center" vertical="center" wrapText="1"/>
      <protection locked="0"/>
    </xf>
    <xf numFmtId="0" fontId="18" fillId="27" borderId="17" xfId="21" applyFont="1" applyFill="1" applyBorder="1" applyAlignment="1" applyProtection="1">
      <alignment horizontal="center" vertical="center"/>
      <protection locked="0"/>
    </xf>
    <xf numFmtId="174" fontId="27" fillId="0" borderId="22" xfId="24" applyNumberFormat="1" applyFont="1" applyFill="1" applyBorder="1" applyProtection="1"/>
    <xf numFmtId="0" fontId="18" fillId="27" borderId="13" xfId="21" applyFont="1" applyFill="1" applyBorder="1" applyAlignment="1" applyProtection="1">
      <alignment horizontal="center"/>
      <protection locked="0"/>
    </xf>
    <xf numFmtId="14" fontId="18" fillId="27" borderId="8" xfId="21" applyNumberFormat="1" applyFont="1" applyFill="1" applyBorder="1" applyAlignment="1">
      <alignment horizontal="center"/>
    </xf>
    <xf numFmtId="0" fontId="18" fillId="28" borderId="100" xfId="21" applyFont="1" applyFill="1" applyBorder="1" applyAlignment="1" applyProtection="1">
      <alignment horizontal="center" wrapText="1"/>
      <protection locked="0"/>
    </xf>
    <xf numFmtId="174" fontId="27" fillId="12" borderId="58" xfId="2" applyNumberFormat="1" applyFont="1" applyFill="1" applyBorder="1" applyAlignment="1" applyProtection="1">
      <alignment horizontal="right"/>
      <protection locked="0"/>
    </xf>
    <xf numFmtId="174" fontId="27" fillId="12" borderId="29" xfId="2" applyNumberFormat="1" applyFont="1" applyFill="1" applyBorder="1" applyAlignment="1" applyProtection="1">
      <alignment horizontal="right"/>
      <protection locked="0"/>
    </xf>
    <xf numFmtId="174" fontId="27" fillId="12" borderId="31" xfId="2" applyNumberFormat="1" applyFont="1" applyFill="1" applyBorder="1" applyAlignment="1" applyProtection="1">
      <alignment horizontal="right"/>
      <protection locked="0"/>
    </xf>
    <xf numFmtId="174" fontId="27" fillId="12" borderId="101" xfId="2" applyNumberFormat="1" applyFont="1" applyFill="1" applyBorder="1" applyAlignment="1" applyProtection="1">
      <alignment horizontal="right"/>
      <protection locked="0"/>
    </xf>
    <xf numFmtId="174" fontId="28" fillId="2" borderId="21" xfId="2" applyNumberFormat="1" applyFont="1" applyFill="1" applyBorder="1" applyAlignment="1" applyProtection="1">
      <alignment horizontal="right"/>
    </xf>
    <xf numFmtId="174" fontId="28" fillId="21" borderId="71" xfId="2" applyNumberFormat="1" applyFont="1" applyFill="1" applyBorder="1" applyAlignment="1" applyProtection="1">
      <alignment horizontal="right"/>
    </xf>
    <xf numFmtId="174" fontId="28" fillId="21" borderId="99" xfId="2" applyNumberFormat="1" applyFont="1" applyFill="1" applyBorder="1" applyAlignment="1" applyProtection="1">
      <alignment horizontal="right"/>
    </xf>
    <xf numFmtId="174" fontId="28" fillId="21" borderId="74" xfId="2" applyNumberFormat="1" applyFont="1" applyFill="1" applyBorder="1" applyAlignment="1" applyProtection="1">
      <alignment horizontal="right"/>
    </xf>
    <xf numFmtId="174" fontId="28" fillId="21" borderId="76" xfId="2" applyNumberFormat="1" applyFont="1" applyFill="1" applyBorder="1" applyAlignment="1" applyProtection="1">
      <alignment horizontal="right"/>
    </xf>
    <xf numFmtId="174" fontId="28" fillId="2" borderId="6" xfId="2" applyNumberFormat="1" applyFont="1" applyFill="1" applyBorder="1" applyAlignment="1" applyProtection="1">
      <alignment horizontal="right"/>
    </xf>
    <xf numFmtId="0" fontId="18" fillId="27" borderId="13" xfId="7" applyFont="1" applyFill="1" applyBorder="1" applyAlignment="1">
      <alignment horizontal="center"/>
    </xf>
    <xf numFmtId="166" fontId="18" fillId="27" borderId="13" xfId="8" applyNumberFormat="1" applyFont="1" applyFill="1" applyBorder="1" applyAlignment="1">
      <alignment horizontal="center"/>
    </xf>
    <xf numFmtId="166" fontId="18" fillId="27" borderId="99" xfId="8" applyNumberFormat="1" applyFont="1" applyFill="1" applyBorder="1" applyAlignment="1">
      <alignment horizontal="center"/>
    </xf>
    <xf numFmtId="43" fontId="18" fillId="27" borderId="76" xfId="1" applyFont="1" applyFill="1" applyBorder="1" applyAlignment="1" applyProtection="1">
      <alignment horizontal="center" vertical="center" wrapText="1"/>
    </xf>
    <xf numFmtId="0" fontId="18" fillId="27" borderId="35" xfId="21" applyFont="1" applyFill="1" applyBorder="1" applyAlignment="1" applyProtection="1">
      <alignment horizontal="center" vertical="center" wrapText="1"/>
      <protection locked="0"/>
    </xf>
    <xf numFmtId="0" fontId="18" fillId="27" borderId="41" xfId="21" applyFont="1" applyFill="1" applyBorder="1" applyAlignment="1" applyProtection="1">
      <alignment horizontal="center"/>
      <protection locked="0"/>
    </xf>
    <xf numFmtId="37" fontId="27" fillId="0" borderId="37" xfId="1" applyNumberFormat="1" applyFont="1" applyBorder="1" applyAlignment="1">
      <alignment horizontal="right"/>
    </xf>
    <xf numFmtId="37" fontId="27" fillId="0" borderId="37" xfId="1" applyNumberFormat="1" applyFont="1" applyBorder="1" applyAlignment="1" applyProtection="1">
      <alignment horizontal="right"/>
      <protection locked="0"/>
    </xf>
    <xf numFmtId="37" fontId="27" fillId="0" borderId="62" xfId="1" applyNumberFormat="1" applyFont="1" applyBorder="1" applyAlignment="1">
      <alignment horizontal="right"/>
    </xf>
    <xf numFmtId="37" fontId="28" fillId="4" borderId="24" xfId="1" applyNumberFormat="1" applyFont="1" applyFill="1" applyBorder="1" applyAlignment="1">
      <alignment horizontal="right"/>
    </xf>
    <xf numFmtId="37" fontId="28" fillId="2" borderId="37" xfId="1" applyNumberFormat="1" applyFont="1" applyFill="1" applyBorder="1" applyAlignment="1">
      <alignment horizontal="right"/>
    </xf>
    <xf numFmtId="37" fontId="27" fillId="0" borderId="65" xfId="1" applyNumberFormat="1" applyFont="1" applyBorder="1" applyAlignment="1">
      <alignment horizontal="right"/>
    </xf>
    <xf numFmtId="0" fontId="18" fillId="30" borderId="2" xfId="10" applyFont="1" applyFill="1" applyBorder="1"/>
    <xf numFmtId="2" fontId="18" fillId="30" borderId="17" xfId="11" applyNumberFormat="1" applyFont="1" applyFill="1" applyBorder="1" applyAlignment="1">
      <alignment horizontal="right"/>
    </xf>
    <xf numFmtId="0" fontId="18" fillId="30" borderId="17" xfId="10" applyFont="1" applyFill="1" applyBorder="1"/>
    <xf numFmtId="174" fontId="18" fillId="30" borderId="17" xfId="11" applyNumberFormat="1" applyFont="1" applyFill="1" applyBorder="1" applyAlignment="1">
      <alignment horizontal="right"/>
    </xf>
    <xf numFmtId="38" fontId="19" fillId="3" borderId="89" xfId="7" applyNumberFormat="1" applyFont="1" applyFill="1" applyBorder="1"/>
    <xf numFmtId="38" fontId="19" fillId="3" borderId="61" xfId="7" applyNumberFormat="1" applyFont="1" applyFill="1" applyBorder="1"/>
    <xf numFmtId="38" fontId="19" fillId="3" borderId="58" xfId="7" applyNumberFormat="1" applyFont="1" applyFill="1" applyBorder="1"/>
    <xf numFmtId="38" fontId="27" fillId="17" borderId="71" xfId="27" applyNumberFormat="1" applyFont="1" applyFill="1" applyBorder="1" applyProtection="1">
      <protection locked="0"/>
    </xf>
    <xf numFmtId="38" fontId="27" fillId="6" borderId="71" xfId="27" applyNumberFormat="1" applyFont="1" applyFill="1" applyBorder="1"/>
    <xf numFmtId="38" fontId="28" fillId="6" borderId="101" xfId="7" applyNumberFormat="1" applyFont="1" applyFill="1" applyBorder="1"/>
    <xf numFmtId="0" fontId="18" fillId="27" borderId="14" xfId="0" applyFont="1" applyFill="1" applyBorder="1" applyAlignment="1">
      <alignment horizontal="center"/>
    </xf>
    <xf numFmtId="14" fontId="18" fillId="27" borderId="8" xfId="0" applyNumberFormat="1" applyFont="1" applyFill="1" applyBorder="1" applyAlignment="1">
      <alignment horizontal="center"/>
    </xf>
    <xf numFmtId="0" fontId="18" fillId="27" borderId="91" xfId="0" applyFont="1" applyFill="1" applyBorder="1" applyAlignment="1">
      <alignment horizontal="center"/>
    </xf>
    <xf numFmtId="14" fontId="18" fillId="27" borderId="12" xfId="0" applyNumberFormat="1" applyFont="1" applyFill="1" applyBorder="1" applyAlignment="1">
      <alignment horizontal="center"/>
    </xf>
    <xf numFmtId="43" fontId="18" fillId="27" borderId="17" xfId="1" applyFont="1" applyFill="1" applyBorder="1" applyAlignment="1" applyProtection="1">
      <alignment horizontal="center" vertical="center" wrapText="1"/>
    </xf>
    <xf numFmtId="43" fontId="18" fillId="27" borderId="17" xfId="1" applyFont="1" applyFill="1" applyBorder="1" applyAlignment="1">
      <alignment horizontal="center" vertical="center" wrapText="1"/>
    </xf>
    <xf numFmtId="0" fontId="18" fillId="28" borderId="1" xfId="0" applyFont="1" applyFill="1" applyBorder="1" applyAlignment="1">
      <alignment horizontal="center" vertical="center" wrapText="1"/>
    </xf>
    <xf numFmtId="174" fontId="19" fillId="0" borderId="12" xfId="2" applyNumberFormat="1" applyFont="1" applyBorder="1" applyProtection="1">
      <protection locked="0"/>
    </xf>
    <xf numFmtId="174" fontId="19" fillId="0" borderId="53" xfId="2" applyNumberFormat="1" applyFont="1" applyBorder="1" applyProtection="1">
      <protection locked="0"/>
    </xf>
    <xf numFmtId="174" fontId="28" fillId="21" borderId="98" xfId="2" applyNumberFormat="1" applyFont="1" applyFill="1" applyBorder="1" applyProtection="1"/>
    <xf numFmtId="174" fontId="28" fillId="2" borderId="17" xfId="2" applyNumberFormat="1" applyFont="1" applyFill="1" applyBorder="1"/>
    <xf numFmtId="0" fontId="18" fillId="27" borderId="17" xfId="0" applyFont="1" applyFill="1" applyBorder="1" applyAlignment="1">
      <alignment horizontal="center" vertical="center"/>
    </xf>
    <xf numFmtId="174" fontId="19" fillId="0" borderId="51" xfId="2" applyNumberFormat="1" applyFont="1" applyFill="1" applyBorder="1"/>
    <xf numFmtId="174" fontId="28" fillId="21" borderId="71" xfId="2" applyNumberFormat="1" applyFont="1" applyFill="1" applyBorder="1"/>
    <xf numFmtId="165" fontId="18" fillId="27" borderId="71" xfId="8" applyFont="1" applyFill="1" applyBorder="1" applyAlignment="1">
      <alignment horizontal="center" wrapText="1"/>
    </xf>
    <xf numFmtId="164" fontId="18" fillId="27" borderId="65" xfId="2" applyNumberFormat="1" applyFont="1" applyFill="1" applyBorder="1" applyAlignment="1">
      <alignment horizontal="center"/>
    </xf>
    <xf numFmtId="164" fontId="18" fillId="27" borderId="14" xfId="2" applyNumberFormat="1" applyFont="1" applyFill="1" applyBorder="1" applyAlignment="1">
      <alignment horizontal="center"/>
    </xf>
    <xf numFmtId="164" fontId="18" fillId="27" borderId="62" xfId="2" applyNumberFormat="1" applyFont="1" applyFill="1" applyBorder="1" applyAlignment="1">
      <alignment horizontal="center"/>
    </xf>
    <xf numFmtId="164" fontId="18" fillId="27" borderId="8" xfId="2" applyNumberFormat="1" applyFont="1" applyFill="1" applyBorder="1" applyAlignment="1">
      <alignment horizontal="center"/>
    </xf>
    <xf numFmtId="164" fontId="18" fillId="27" borderId="13" xfId="2" applyNumberFormat="1" applyFont="1" applyFill="1" applyBorder="1" applyAlignment="1">
      <alignment horizontal="center"/>
    </xf>
    <xf numFmtId="164" fontId="18" fillId="27" borderId="6" xfId="2" applyNumberFormat="1" applyFont="1" applyFill="1" applyBorder="1" applyAlignment="1">
      <alignment horizontal="center"/>
    </xf>
    <xf numFmtId="176" fontId="18" fillId="30" borderId="17" xfId="12" applyNumberFormat="1" applyFont="1" applyFill="1" applyBorder="1" applyAlignment="1">
      <alignment horizontal="right"/>
    </xf>
    <xf numFmtId="0" fontId="27" fillId="12" borderId="44" xfId="21" applyFont="1" applyFill="1" applyBorder="1" applyAlignment="1" applyProtection="1">
      <alignment wrapText="1"/>
      <protection locked="0"/>
    </xf>
    <xf numFmtId="0" fontId="27" fillId="12" borderId="89" xfId="21" applyFont="1" applyFill="1" applyBorder="1" applyAlignment="1" applyProtection="1">
      <alignment wrapText="1"/>
      <protection locked="0"/>
    </xf>
    <xf numFmtId="0" fontId="27" fillId="12" borderId="46" xfId="21" applyFont="1" applyFill="1" applyBorder="1" applyAlignment="1" applyProtection="1">
      <alignment wrapText="1"/>
      <protection locked="0"/>
    </xf>
    <xf numFmtId="0" fontId="27" fillId="12" borderId="32" xfId="21" applyFont="1" applyFill="1" applyBorder="1" applyAlignment="1" applyProtection="1">
      <alignment wrapText="1"/>
      <protection locked="0"/>
    </xf>
    <xf numFmtId="0" fontId="27" fillId="12" borderId="48" xfId="21" applyFont="1" applyFill="1" applyBorder="1" applyAlignment="1" applyProtection="1">
      <alignment wrapText="1"/>
      <protection locked="0"/>
    </xf>
    <xf numFmtId="0" fontId="27" fillId="12" borderId="90" xfId="21" applyFont="1" applyFill="1" applyBorder="1" applyAlignment="1" applyProtection="1">
      <alignment wrapText="1"/>
      <protection locked="0"/>
    </xf>
    <xf numFmtId="38" fontId="28" fillId="6" borderId="6" xfId="27" applyNumberFormat="1" applyFont="1" applyFill="1" applyBorder="1"/>
    <xf numFmtId="174" fontId="19" fillId="2" borderId="29" xfId="0" applyNumberFormat="1" applyFont="1" applyFill="1" applyBorder="1" applyAlignment="1">
      <alignment vertical="top"/>
    </xf>
    <xf numFmtId="174" fontId="19" fillId="2" borderId="31" xfId="0" applyNumberFormat="1" applyFont="1" applyFill="1" applyBorder="1" applyAlignment="1">
      <alignment vertical="top"/>
    </xf>
    <xf numFmtId="174" fontId="27" fillId="2" borderId="32" xfId="0" applyNumberFormat="1" applyFont="1" applyFill="1" applyBorder="1" applyAlignment="1">
      <alignment vertical="top"/>
    </xf>
    <xf numFmtId="174" fontId="27" fillId="2" borderId="27" xfId="0" applyNumberFormat="1" applyFont="1" applyFill="1" applyBorder="1" applyAlignment="1">
      <alignment vertical="top"/>
    </xf>
    <xf numFmtId="174" fontId="19" fillId="2" borderId="30" xfId="0" applyNumberFormat="1" applyFont="1" applyFill="1" applyBorder="1" applyAlignment="1">
      <alignment vertical="top"/>
    </xf>
    <xf numFmtId="174" fontId="19" fillId="2" borderId="32" xfId="0" applyNumberFormat="1" applyFont="1" applyFill="1" applyBorder="1" applyAlignment="1">
      <alignment vertical="top"/>
    </xf>
    <xf numFmtId="165" fontId="19" fillId="0" borderId="38" xfId="8" applyFont="1" applyBorder="1" applyAlignment="1">
      <alignment horizontal="center"/>
    </xf>
    <xf numFmtId="165" fontId="19" fillId="0" borderId="31" xfId="8" applyFont="1" applyBorder="1"/>
    <xf numFmtId="0" fontId="18" fillId="28" borderId="60" xfId="0" applyFont="1" applyFill="1" applyBorder="1" applyAlignment="1">
      <alignment horizontal="center" vertical="center"/>
    </xf>
    <xf numFmtId="165" fontId="39" fillId="0" borderId="19" xfId="8" applyFont="1" applyBorder="1"/>
    <xf numFmtId="165" fontId="39" fillId="0" borderId="25" xfId="8" applyFont="1" applyBorder="1"/>
    <xf numFmtId="165" fontId="39" fillId="9" borderId="25" xfId="8" applyFont="1" applyFill="1" applyBorder="1"/>
    <xf numFmtId="165" fontId="39" fillId="0" borderId="31" xfId="8" applyFont="1" applyBorder="1"/>
    <xf numFmtId="0" fontId="28" fillId="2" borderId="60" xfId="0" applyFont="1" applyFill="1" applyBorder="1" applyAlignment="1">
      <alignment horizontal="right" vertical="center"/>
    </xf>
    <xf numFmtId="43" fontId="18" fillId="28" borderId="35" xfId="1" applyFont="1" applyFill="1" applyBorder="1" applyAlignment="1" applyProtection="1">
      <alignment horizontal="center" vertical="center" wrapText="1"/>
      <protection locked="0"/>
    </xf>
    <xf numFmtId="174" fontId="19" fillId="0" borderId="37" xfId="2" applyNumberFormat="1" applyFont="1" applyBorder="1" applyProtection="1">
      <protection locked="0"/>
    </xf>
    <xf numFmtId="174" fontId="19" fillId="0" borderId="23" xfId="2" applyNumberFormat="1" applyFont="1" applyBorder="1" applyProtection="1">
      <protection locked="0"/>
    </xf>
    <xf numFmtId="174" fontId="19" fillId="0" borderId="97" xfId="2" applyNumberFormat="1" applyFont="1" applyBorder="1" applyProtection="1">
      <protection locked="0"/>
    </xf>
    <xf numFmtId="174" fontId="19" fillId="0" borderId="66" xfId="2" applyNumberFormat="1" applyFont="1" applyBorder="1" applyProtection="1">
      <protection locked="0"/>
    </xf>
    <xf numFmtId="174" fontId="28" fillId="2" borderId="24" xfId="2" applyNumberFormat="1" applyFont="1" applyFill="1" applyBorder="1"/>
    <xf numFmtId="0" fontId="28" fillId="2" borderId="60" xfId="0" applyFont="1" applyFill="1" applyBorder="1" applyAlignment="1">
      <alignment horizontal="left" vertical="center"/>
    </xf>
    <xf numFmtId="0" fontId="27" fillId="0" borderId="58" xfId="0" applyFont="1" applyBorder="1" applyAlignment="1">
      <alignment horizontal="left" vertical="center"/>
    </xf>
    <xf numFmtId="174" fontId="19" fillId="0" borderId="57" xfId="2" applyNumberFormat="1" applyFont="1" applyFill="1" applyBorder="1"/>
    <xf numFmtId="174" fontId="19" fillId="0" borderId="72" xfId="2" applyNumberFormat="1" applyFont="1" applyFill="1" applyBorder="1"/>
    <xf numFmtId="0" fontId="2" fillId="0" borderId="0" xfId="0" applyFont="1" applyAlignment="1">
      <alignment horizontal="left"/>
    </xf>
    <xf numFmtId="0" fontId="2" fillId="0" borderId="0" xfId="22" applyFont="1"/>
    <xf numFmtId="43" fontId="2" fillId="0" borderId="0" xfId="27" applyFont="1" applyFill="1" applyBorder="1" applyProtection="1">
      <protection locked="0"/>
    </xf>
    <xf numFmtId="0" fontId="2" fillId="0" borderId="0" xfId="0" applyFont="1"/>
    <xf numFmtId="10" fontId="2" fillId="0" borderId="44" xfId="39" applyNumberFormat="1" applyFont="1" applyBorder="1" applyAlignment="1">
      <alignment horizontal="center"/>
    </xf>
    <xf numFmtId="0" fontId="2" fillId="0" borderId="61" xfId="0" applyFont="1" applyBorder="1"/>
    <xf numFmtId="10" fontId="2" fillId="0" borderId="46" xfId="39" applyNumberFormat="1" applyFont="1" applyBorder="1" applyAlignment="1">
      <alignment horizontal="center"/>
    </xf>
    <xf numFmtId="0" fontId="2" fillId="0" borderId="10" xfId="0" applyFont="1" applyBorder="1"/>
    <xf numFmtId="10" fontId="2" fillId="0" borderId="48" xfId="39" applyNumberFormat="1" applyFont="1" applyBorder="1" applyAlignment="1">
      <alignment horizontal="center"/>
    </xf>
    <xf numFmtId="0" fontId="2" fillId="0" borderId="77" xfId="0" applyFont="1" applyBorder="1"/>
    <xf numFmtId="0" fontId="2" fillId="0" borderId="0" xfId="21" applyFont="1" applyProtection="1">
      <protection locked="0"/>
    </xf>
    <xf numFmtId="174" fontId="2" fillId="0" borderId="57" xfId="5" applyNumberFormat="1" applyFont="1" applyBorder="1"/>
    <xf numFmtId="174" fontId="2" fillId="0" borderId="38" xfId="5" applyNumberFormat="1" applyFont="1" applyBorder="1"/>
    <xf numFmtId="174" fontId="2" fillId="0" borderId="59" xfId="5" applyNumberFormat="1" applyFont="1" applyBorder="1"/>
    <xf numFmtId="0" fontId="2" fillId="28" borderId="18" xfId="29" applyFont="1" applyFill="1" applyBorder="1"/>
    <xf numFmtId="0" fontId="2" fillId="28" borderId="1" xfId="29" applyFont="1" applyFill="1" applyBorder="1"/>
    <xf numFmtId="0" fontId="2" fillId="0" borderId="0" xfId="29" applyFont="1"/>
    <xf numFmtId="0" fontId="2" fillId="0" borderId="15" xfId="29" applyFont="1" applyBorder="1"/>
    <xf numFmtId="0" fontId="2" fillId="0" borderId="65" xfId="29" applyFont="1" applyBorder="1"/>
    <xf numFmtId="0" fontId="2" fillId="0" borderId="14" xfId="29" applyFont="1" applyBorder="1"/>
    <xf numFmtId="0" fontId="2" fillId="0" borderId="40" xfId="29" applyFont="1" applyBorder="1"/>
    <xf numFmtId="0" fontId="2" fillId="0" borderId="5" xfId="29" applyFont="1" applyBorder="1"/>
    <xf numFmtId="0" fontId="2" fillId="0" borderId="37" xfId="29" applyFont="1" applyBorder="1"/>
    <xf numFmtId="0" fontId="2" fillId="0" borderId="12" xfId="29" applyFont="1" applyBorder="1"/>
    <xf numFmtId="0" fontId="2" fillId="0" borderId="34" xfId="29" applyFont="1" applyBorder="1"/>
    <xf numFmtId="173" fontId="2" fillId="0" borderId="37" xfId="30" applyNumberFormat="1" applyFont="1" applyBorder="1"/>
    <xf numFmtId="10" fontId="2" fillId="0" borderId="34" xfId="25" applyNumberFormat="1" applyFont="1" applyBorder="1"/>
    <xf numFmtId="173" fontId="2" fillId="22" borderId="24" xfId="30" applyNumberFormat="1" applyFont="1" applyFill="1" applyBorder="1"/>
    <xf numFmtId="10" fontId="2" fillId="22" borderId="63" xfId="25" applyNumberFormat="1" applyFont="1" applyFill="1" applyBorder="1"/>
    <xf numFmtId="10" fontId="2" fillId="5" borderId="34" xfId="25" applyNumberFormat="1" applyFont="1" applyFill="1" applyBorder="1"/>
    <xf numFmtId="173" fontId="2" fillId="22" borderId="38" xfId="30" applyNumberFormat="1" applyFont="1" applyFill="1" applyBorder="1"/>
    <xf numFmtId="10" fontId="2" fillId="22" borderId="10" xfId="25" applyNumberFormat="1" applyFont="1" applyFill="1" applyBorder="1"/>
    <xf numFmtId="173" fontId="2" fillId="22" borderId="37" xfId="30" applyNumberFormat="1" applyFont="1" applyFill="1" applyBorder="1"/>
    <xf numFmtId="10" fontId="2" fillId="22" borderId="34" xfId="25" applyNumberFormat="1" applyFont="1" applyFill="1" applyBorder="1"/>
    <xf numFmtId="173" fontId="2" fillId="22" borderId="36" xfId="30" applyNumberFormat="1" applyFont="1" applyFill="1" applyBorder="1"/>
    <xf numFmtId="10" fontId="2" fillId="22" borderId="33" xfId="25" applyNumberFormat="1" applyFont="1" applyFill="1" applyBorder="1"/>
    <xf numFmtId="167" fontId="2" fillId="0" borderId="37" xfId="30" applyNumberFormat="1" applyFont="1" applyBorder="1"/>
    <xf numFmtId="167" fontId="2" fillId="6" borderId="57" xfId="30" applyNumberFormat="1" applyFont="1" applyFill="1" applyBorder="1"/>
    <xf numFmtId="10" fontId="2" fillId="6" borderId="61" xfId="25" applyNumberFormat="1" applyFont="1" applyFill="1" applyBorder="1"/>
    <xf numFmtId="167" fontId="2" fillId="6" borderId="62" xfId="30" applyNumberFormat="1" applyFont="1" applyFill="1" applyBorder="1"/>
    <xf numFmtId="10" fontId="2" fillId="6" borderId="39" xfId="25" applyNumberFormat="1" applyFont="1" applyFill="1" applyBorder="1"/>
    <xf numFmtId="0" fontId="2" fillId="0" borderId="0" xfId="29" applyFont="1" applyAlignment="1">
      <alignment horizontal="center"/>
    </xf>
    <xf numFmtId="0" fontId="2" fillId="0" borderId="0" xfId="22" applyFont="1" applyAlignment="1">
      <alignment horizontal="center"/>
    </xf>
    <xf numFmtId="37" fontId="2" fillId="0" borderId="37" xfId="29" applyNumberFormat="1" applyFont="1" applyBorder="1"/>
    <xf numFmtId="37" fontId="2" fillId="0" borderId="12" xfId="29" applyNumberFormat="1" applyFont="1" applyBorder="1"/>
    <xf numFmtId="0" fontId="2" fillId="0" borderId="12" xfId="29" applyFont="1" applyBorder="1" applyAlignment="1">
      <alignment horizontal="center"/>
    </xf>
    <xf numFmtId="0" fontId="2" fillId="22" borderId="34" xfId="29" applyFont="1" applyFill="1" applyBorder="1"/>
    <xf numFmtId="0" fontId="2" fillId="22" borderId="12" xfId="29" applyFont="1" applyFill="1" applyBorder="1"/>
    <xf numFmtId="10" fontId="2" fillId="0" borderId="37" xfId="48" applyNumberFormat="1" applyFont="1" applyBorder="1"/>
    <xf numFmtId="10" fontId="2" fillId="0" borderId="34" xfId="48" applyNumberFormat="1" applyFont="1" applyBorder="1"/>
    <xf numFmtId="2" fontId="2" fillId="0" borderId="34" xfId="32" applyNumberFormat="1" applyFont="1" applyBorder="1"/>
    <xf numFmtId="10" fontId="2" fillId="0" borderId="62" xfId="48" applyNumberFormat="1" applyFont="1" applyBorder="1"/>
    <xf numFmtId="10" fontId="2" fillId="0" borderId="39" xfId="48" applyNumberFormat="1" applyFont="1" applyBorder="1"/>
    <xf numFmtId="2" fontId="2" fillId="0" borderId="39" xfId="32" applyNumberFormat="1" applyFont="1" applyBorder="1"/>
    <xf numFmtId="0" fontId="2" fillId="22" borderId="24" xfId="29" applyFont="1" applyFill="1" applyBorder="1"/>
    <xf numFmtId="0" fontId="2" fillId="22" borderId="63" xfId="29" applyFont="1" applyFill="1" applyBorder="1"/>
    <xf numFmtId="0" fontId="2" fillId="22" borderId="1" xfId="29" applyFont="1" applyFill="1" applyBorder="1" applyAlignment="1">
      <alignment horizontal="center"/>
    </xf>
    <xf numFmtId="10" fontId="2" fillId="22" borderId="37" xfId="48" applyNumberFormat="1" applyFont="1" applyFill="1" applyBorder="1"/>
    <xf numFmtId="10" fontId="2" fillId="22" borderId="34" xfId="48" applyNumberFormat="1" applyFont="1" applyFill="1" applyBorder="1"/>
    <xf numFmtId="2" fontId="2" fillId="22" borderId="34" xfId="32" applyNumberFormat="1" applyFont="1" applyFill="1" applyBorder="1"/>
    <xf numFmtId="0" fontId="2" fillId="22" borderId="37" xfId="29" applyFont="1" applyFill="1" applyBorder="1"/>
    <xf numFmtId="0" fontId="2" fillId="22" borderId="12" xfId="29" applyFont="1" applyFill="1" applyBorder="1" applyAlignment="1">
      <alignment horizontal="center"/>
    </xf>
    <xf numFmtId="0" fontId="2" fillId="0" borderId="62" xfId="29" applyFont="1" applyBorder="1"/>
    <xf numFmtId="0" fontId="2" fillId="0" borderId="39" xfId="29" applyFont="1" applyBorder="1"/>
    <xf numFmtId="0" fontId="2" fillId="0" borderId="8" xfId="29" applyFont="1" applyBorder="1" applyAlignment="1">
      <alignment horizontal="center"/>
    </xf>
    <xf numFmtId="0" fontId="2" fillId="0" borderId="36" xfId="0" applyFont="1" applyBorder="1" applyAlignment="1">
      <alignment horizontal="center"/>
    </xf>
    <xf numFmtId="0" fontId="2" fillId="22" borderId="11" xfId="0" applyFont="1" applyFill="1" applyBorder="1"/>
    <xf numFmtId="0" fontId="2" fillId="22" borderId="6" xfId="0" applyFont="1" applyFill="1" applyBorder="1"/>
    <xf numFmtId="0" fontId="2" fillId="0" borderId="57" xfId="0" applyFont="1" applyBorder="1" applyAlignment="1">
      <alignment horizontal="center"/>
    </xf>
    <xf numFmtId="0" fontId="2" fillId="28" borderId="1" xfId="0" applyFont="1" applyFill="1" applyBorder="1"/>
    <xf numFmtId="0" fontId="2" fillId="0" borderId="33" xfId="0" applyFont="1" applyBorder="1" applyAlignment="1">
      <alignment horizontal="center"/>
    </xf>
    <xf numFmtId="0" fontId="2" fillId="0" borderId="10"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174" fontId="2" fillId="28" borderId="1" xfId="0" applyNumberFormat="1" applyFont="1" applyFill="1" applyBorder="1"/>
    <xf numFmtId="43" fontId="2" fillId="0" borderId="0" xfId="41" applyFont="1"/>
    <xf numFmtId="0" fontId="2" fillId="0" borderId="0" xfId="57" applyFont="1"/>
    <xf numFmtId="0" fontId="2" fillId="0" borderId="0" xfId="57" applyFont="1" applyAlignment="1">
      <alignment wrapText="1"/>
    </xf>
    <xf numFmtId="0" fontId="2" fillId="0" borderId="57" xfId="57" applyFont="1" applyBorder="1" applyAlignment="1" applyProtection="1">
      <alignment horizontal="left" vertical="center" wrapText="1"/>
      <protection locked="0"/>
    </xf>
    <xf numFmtId="43" fontId="2" fillId="11" borderId="61" xfId="59" applyNumberFormat="1" applyFont="1" applyBorder="1" applyAlignment="1" applyProtection="1">
      <alignment horizontal="center" vertical="center" wrapText="1"/>
    </xf>
    <xf numFmtId="0" fontId="2" fillId="0" borderId="38" xfId="57" applyFont="1" applyBorder="1" applyAlignment="1" applyProtection="1">
      <alignment horizontal="left" vertical="center" wrapText="1"/>
      <protection locked="0"/>
    </xf>
    <xf numFmtId="43" fontId="2" fillId="11" borderId="10" xfId="59" applyNumberFormat="1" applyFont="1" applyBorder="1" applyAlignment="1" applyProtection="1">
      <alignment horizontal="center" vertical="center" wrapText="1"/>
    </xf>
    <xf numFmtId="0" fontId="2" fillId="0" borderId="59" xfId="57" applyFont="1" applyBorder="1" applyAlignment="1" applyProtection="1">
      <alignment horizontal="left" vertical="center" wrapText="1"/>
      <protection locked="0"/>
    </xf>
    <xf numFmtId="43" fontId="2" fillId="11" borderId="77" xfId="59" applyNumberFormat="1" applyFont="1" applyBorder="1" applyAlignment="1" applyProtection="1">
      <alignment horizontal="center" vertical="center" wrapText="1"/>
    </xf>
    <xf numFmtId="0" fontId="2" fillId="2" borderId="18" xfId="57" applyFont="1" applyFill="1" applyBorder="1" applyAlignment="1">
      <alignment horizontal="right"/>
    </xf>
    <xf numFmtId="0" fontId="2" fillId="0" borderId="0" xfId="57" applyFont="1" applyAlignment="1">
      <alignment horizontal="left" vertical="center" wrapText="1"/>
    </xf>
    <xf numFmtId="0" fontId="2" fillId="0" borderId="44" xfId="57" applyFont="1" applyBorder="1" applyAlignment="1">
      <alignment horizontal="left" vertical="center"/>
    </xf>
    <xf numFmtId="0" fontId="2" fillId="0" borderId="45" xfId="57" applyFont="1" applyBorder="1" applyAlignment="1">
      <alignment horizontal="left" vertical="center" wrapText="1"/>
    </xf>
    <xf numFmtId="0" fontId="2" fillId="0" borderId="45" xfId="57" applyFont="1" applyBorder="1"/>
    <xf numFmtId="0" fontId="2" fillId="0" borderId="51" xfId="57" applyFont="1" applyBorder="1"/>
    <xf numFmtId="0" fontId="2" fillId="0" borderId="46" xfId="57" applyFont="1" applyBorder="1" applyAlignment="1">
      <alignment horizontal="left" vertical="center"/>
    </xf>
    <xf numFmtId="0" fontId="2" fillId="0" borderId="16" xfId="57" applyFont="1" applyBorder="1" applyAlignment="1">
      <alignment horizontal="left" vertical="center" wrapText="1"/>
    </xf>
    <xf numFmtId="0" fontId="2" fillId="0" borderId="16" xfId="57" applyFont="1" applyBorder="1"/>
    <xf numFmtId="0" fontId="2" fillId="0" borderId="47" xfId="57" applyFont="1" applyBorder="1"/>
    <xf numFmtId="0" fontId="2" fillId="0" borderId="12" xfId="0" applyFont="1" applyBorder="1" applyAlignment="1">
      <alignment vertical="top" wrapText="1"/>
    </xf>
    <xf numFmtId="0" fontId="2" fillId="0" borderId="0" xfId="50" applyFont="1"/>
    <xf numFmtId="44" fontId="2" fillId="0" borderId="0" xfId="50" applyNumberFormat="1" applyFont="1"/>
    <xf numFmtId="0" fontId="2" fillId="0" borderId="33" xfId="50" applyFont="1" applyBorder="1"/>
    <xf numFmtId="44" fontId="2" fillId="0" borderId="33" xfId="50" applyNumberFormat="1" applyFont="1" applyBorder="1"/>
    <xf numFmtId="0" fontId="2" fillId="0" borderId="33" xfId="50" applyFont="1" applyBorder="1" applyAlignment="1">
      <alignment horizontal="left" wrapText="1"/>
    </xf>
    <xf numFmtId="0" fontId="2" fillId="28" borderId="16" xfId="55" applyFont="1" applyFill="1" applyBorder="1"/>
    <xf numFmtId="0" fontId="2" fillId="28" borderId="32" xfId="55" applyFont="1" applyFill="1" applyBorder="1"/>
    <xf numFmtId="0" fontId="2" fillId="0" borderId="0" xfId="55" applyFont="1"/>
    <xf numFmtId="3" fontId="2" fillId="0" borderId="5" xfId="41" applyNumberFormat="1" applyFont="1" applyFill="1" applyBorder="1" applyAlignment="1">
      <alignment horizontal="right"/>
    </xf>
    <xf numFmtId="3" fontId="2" fillId="0" borderId="0" xfId="41" applyNumberFormat="1" applyFont="1" applyFill="1" applyBorder="1" applyAlignment="1">
      <alignment horizontal="right"/>
    </xf>
    <xf numFmtId="3" fontId="2" fillId="0" borderId="117" xfId="41" applyNumberFormat="1" applyFont="1" applyFill="1" applyBorder="1" applyAlignment="1">
      <alignment horizontal="right"/>
    </xf>
    <xf numFmtId="3" fontId="2" fillId="0" borderId="0" xfId="55" applyNumberFormat="1" applyFont="1"/>
    <xf numFmtId="0" fontId="2" fillId="0" borderId="0" xfId="16" applyFont="1" applyAlignment="1" applyProtection="1">
      <alignment vertical="center"/>
      <protection locked="0"/>
    </xf>
    <xf numFmtId="0" fontId="2" fillId="0" borderId="61" xfId="7" applyFont="1" applyBorder="1" applyAlignment="1" applyProtection="1">
      <alignment wrapText="1"/>
      <protection locked="0"/>
    </xf>
    <xf numFmtId="0" fontId="2" fillId="0" borderId="28" xfId="7" applyFont="1" applyBorder="1" applyAlignment="1" applyProtection="1">
      <alignment wrapText="1"/>
      <protection locked="0"/>
    </xf>
    <xf numFmtId="0" fontId="2" fillId="0" borderId="0" xfId="0" applyFont="1" applyAlignment="1">
      <alignment horizontal="left" vertical="center" wrapText="1"/>
    </xf>
    <xf numFmtId="0" fontId="27" fillId="0" borderId="57" xfId="22" applyFont="1" applyBorder="1"/>
    <xf numFmtId="174" fontId="27" fillId="0" borderId="61" xfId="24" applyNumberFormat="1" applyFont="1" applyFill="1" applyBorder="1"/>
    <xf numFmtId="174" fontId="27" fillId="0" borderId="72" xfId="24" applyNumberFormat="1" applyFont="1" applyFill="1" applyBorder="1"/>
    <xf numFmtId="0" fontId="27" fillId="0" borderId="38" xfId="22" applyFont="1" applyBorder="1" applyAlignment="1">
      <alignment wrapText="1"/>
    </xf>
    <xf numFmtId="174" fontId="27" fillId="0" borderId="10" xfId="24" applyNumberFormat="1" applyFont="1" applyFill="1" applyBorder="1"/>
    <xf numFmtId="174" fontId="27" fillId="0" borderId="67" xfId="24" applyNumberFormat="1" applyFont="1" applyFill="1" applyBorder="1"/>
    <xf numFmtId="0" fontId="27" fillId="0" borderId="38" xfId="22" applyFont="1" applyBorder="1"/>
    <xf numFmtId="0" fontId="27" fillId="0" borderId="59" xfId="22" applyFont="1" applyBorder="1"/>
    <xf numFmtId="174" fontId="27" fillId="0" borderId="77" xfId="24" applyNumberFormat="1" applyFont="1" applyFill="1" applyBorder="1"/>
    <xf numFmtId="174" fontId="27" fillId="0" borderId="50" xfId="24" applyNumberFormat="1" applyFont="1" applyFill="1" applyBorder="1"/>
    <xf numFmtId="10" fontId="27" fillId="0" borderId="62" xfId="3" applyNumberFormat="1" applyFont="1" applyFill="1" applyBorder="1" applyAlignment="1" applyProtection="1">
      <alignment horizontal="center"/>
      <protection locked="0"/>
    </xf>
    <xf numFmtId="10" fontId="27" fillId="0" borderId="39" xfId="3" applyNumberFormat="1" applyFont="1" applyFill="1" applyBorder="1" applyAlignment="1" applyProtection="1">
      <alignment horizontal="center"/>
      <protection locked="0"/>
    </xf>
    <xf numFmtId="10" fontId="27" fillId="0" borderId="22" xfId="3" applyNumberFormat="1" applyFont="1" applyFill="1" applyBorder="1" applyAlignment="1" applyProtection="1">
      <alignment horizontal="center"/>
      <protection locked="0"/>
    </xf>
    <xf numFmtId="174" fontId="27" fillId="0" borderId="13" xfId="38" applyNumberFormat="1" applyFont="1" applyFill="1" applyBorder="1" applyProtection="1">
      <protection locked="0"/>
    </xf>
    <xf numFmtId="174" fontId="27" fillId="0" borderId="74" xfId="37" applyNumberFormat="1" applyFont="1" applyFill="1" applyBorder="1" applyProtection="1">
      <protection locked="0"/>
    </xf>
    <xf numFmtId="174" fontId="27" fillId="0" borderId="76" xfId="37" applyNumberFormat="1" applyFont="1" applyFill="1" applyBorder="1" applyProtection="1">
      <protection locked="0"/>
    </xf>
    <xf numFmtId="0" fontId="59" fillId="0" borderId="0" xfId="0" applyFont="1" applyAlignment="1">
      <alignment horizontal="center"/>
    </xf>
    <xf numFmtId="14" fontId="27" fillId="0" borderId="7" xfId="15" applyNumberFormat="1" applyFont="1" applyBorder="1" applyAlignment="1">
      <alignment horizontal="left"/>
    </xf>
    <xf numFmtId="0" fontId="27" fillId="0" borderId="7" xfId="15" applyFont="1" applyBorder="1" applyAlignment="1">
      <alignment horizontal="left"/>
    </xf>
    <xf numFmtId="0" fontId="2" fillId="0" borderId="7" xfId="0" applyFont="1" applyBorder="1" applyAlignment="1">
      <alignment horizontal="left"/>
    </xf>
    <xf numFmtId="0" fontId="27" fillId="0" borderId="0" xfId="15" applyFont="1" applyAlignment="1">
      <alignment horizontal="center"/>
    </xf>
    <xf numFmtId="0" fontId="27" fillId="0" borderId="7" xfId="15" applyFont="1" applyBorder="1" applyAlignment="1">
      <alignment horizontal="center"/>
    </xf>
    <xf numFmtId="0" fontId="30" fillId="0" borderId="0" xfId="0" applyFont="1" applyAlignment="1">
      <alignment horizontal="center"/>
    </xf>
    <xf numFmtId="0" fontId="2" fillId="0" borderId="0" xfId="0" applyFont="1" applyAlignment="1">
      <alignment horizontal="center"/>
    </xf>
    <xf numFmtId="175" fontId="2" fillId="0" borderId="7" xfId="0" applyNumberFormat="1" applyFont="1" applyBorder="1" applyAlignment="1">
      <alignment horizontal="center"/>
    </xf>
    <xf numFmtId="0" fontId="27" fillId="0" borderId="0" xfId="0" applyFont="1" applyAlignment="1">
      <alignment horizontal="left" wrapText="1"/>
    </xf>
    <xf numFmtId="0" fontId="18" fillId="28" borderId="2" xfId="0" applyFont="1" applyFill="1" applyBorder="1" applyAlignment="1">
      <alignment horizontal="center"/>
    </xf>
    <xf numFmtId="0" fontId="18" fillId="16" borderId="18" xfId="0" applyFont="1" applyFill="1" applyBorder="1" applyAlignment="1">
      <alignment horizontal="center"/>
    </xf>
    <xf numFmtId="0" fontId="18" fillId="16" borderId="1" xfId="0" applyFont="1" applyFill="1" applyBorder="1" applyAlignment="1">
      <alignment horizontal="center"/>
    </xf>
    <xf numFmtId="0" fontId="28" fillId="0" borderId="15" xfId="0" applyFont="1" applyBorder="1" applyAlignment="1">
      <alignment horizontal="left"/>
    </xf>
    <xf numFmtId="0" fontId="28" fillId="0" borderId="4" xfId="0" applyFont="1" applyBorder="1" applyAlignment="1">
      <alignment horizontal="left"/>
    </xf>
    <xf numFmtId="0" fontId="28" fillId="0" borderId="14" xfId="0" applyFont="1" applyBorder="1" applyAlignment="1">
      <alignment horizontal="left"/>
    </xf>
    <xf numFmtId="0" fontId="28" fillId="0" borderId="5" xfId="14" applyFont="1" applyBorder="1" applyAlignment="1">
      <alignment horizontal="center"/>
    </xf>
    <xf numFmtId="0" fontId="28" fillId="0" borderId="0" xfId="14" applyFont="1" applyAlignment="1">
      <alignment horizontal="center"/>
    </xf>
    <xf numFmtId="170" fontId="44" fillId="0" borderId="15" xfId="52" applyFont="1" applyBorder="1" applyAlignment="1">
      <alignment horizontal="center"/>
    </xf>
    <xf numFmtId="170" fontId="44" fillId="0" borderId="4" xfId="52" applyFont="1" applyBorder="1" applyAlignment="1">
      <alignment horizontal="center"/>
    </xf>
    <xf numFmtId="170" fontId="44" fillId="0" borderId="14" xfId="52" applyFont="1" applyBorder="1" applyAlignment="1">
      <alignment horizontal="center"/>
    </xf>
    <xf numFmtId="0" fontId="27" fillId="0" borderId="5" xfId="0" applyFont="1" applyBorder="1" applyAlignment="1">
      <alignment horizontal="left"/>
    </xf>
    <xf numFmtId="0" fontId="27" fillId="0" borderId="0" xfId="0" applyFont="1" applyAlignment="1">
      <alignment horizontal="left"/>
    </xf>
    <xf numFmtId="0" fontId="27" fillId="25" borderId="46" xfId="0" applyFont="1" applyFill="1" applyBorder="1" applyAlignment="1">
      <alignment horizontal="left" wrapText="1"/>
    </xf>
    <xf numFmtId="0" fontId="27" fillId="25" borderId="16" xfId="0" applyFont="1" applyFill="1" applyBorder="1" applyAlignment="1">
      <alignment horizontal="left" wrapText="1"/>
    </xf>
    <xf numFmtId="0" fontId="27" fillId="25" borderId="32" xfId="0" applyFont="1" applyFill="1" applyBorder="1" applyAlignment="1">
      <alignment horizontal="left" wrapText="1"/>
    </xf>
    <xf numFmtId="0" fontId="27" fillId="25" borderId="44" xfId="0" applyFont="1" applyFill="1" applyBorder="1" applyAlignment="1">
      <alignment horizontal="left" wrapText="1"/>
    </xf>
    <xf numFmtId="0" fontId="27" fillId="25" borderId="45" xfId="0" applyFont="1" applyFill="1" applyBorder="1" applyAlignment="1">
      <alignment horizontal="left" wrapText="1"/>
    </xf>
    <xf numFmtId="0" fontId="27" fillId="25" borderId="89" xfId="0" applyFont="1" applyFill="1" applyBorder="1" applyAlignment="1">
      <alignment horizontal="left" wrapText="1"/>
    </xf>
    <xf numFmtId="0" fontId="51" fillId="29" borderId="2" xfId="0" applyFont="1" applyFill="1" applyBorder="1" applyAlignment="1">
      <alignment horizontal="center"/>
    </xf>
    <xf numFmtId="0" fontId="51" fillId="24" borderId="18" xfId="0" applyFont="1" applyFill="1" applyBorder="1" applyAlignment="1">
      <alignment horizontal="center"/>
    </xf>
    <xf numFmtId="0" fontId="18" fillId="28" borderId="9" xfId="21" applyFont="1" applyFill="1" applyBorder="1" applyAlignment="1" applyProtection="1">
      <alignment horizontal="center"/>
      <protection locked="0"/>
    </xf>
    <xf numFmtId="0" fontId="18" fillId="16" borderId="7" xfId="21" applyFont="1" applyFill="1" applyBorder="1" applyAlignment="1" applyProtection="1">
      <alignment horizontal="center"/>
      <protection locked="0"/>
    </xf>
    <xf numFmtId="0" fontId="18" fillId="16" borderId="8" xfId="21" applyFont="1" applyFill="1" applyBorder="1" applyAlignment="1" applyProtection="1">
      <alignment horizontal="center"/>
      <protection locked="0"/>
    </xf>
    <xf numFmtId="0" fontId="18" fillId="30" borderId="2" xfId="21" applyFont="1" applyFill="1" applyBorder="1" applyAlignment="1" applyProtection="1">
      <alignment horizontal="center"/>
      <protection locked="0"/>
    </xf>
    <xf numFmtId="0" fontId="18" fillId="19" borderId="64" xfId="21" applyFont="1" applyFill="1" applyBorder="1" applyAlignment="1" applyProtection="1">
      <alignment horizontal="center"/>
      <protection locked="0"/>
    </xf>
    <xf numFmtId="0" fontId="27" fillId="25" borderId="48" xfId="0" applyFont="1" applyFill="1" applyBorder="1" applyAlignment="1">
      <alignment horizontal="left" wrapText="1"/>
    </xf>
    <xf numFmtId="0" fontId="27" fillId="25" borderId="49" xfId="0" applyFont="1" applyFill="1" applyBorder="1" applyAlignment="1">
      <alignment horizontal="left" wrapText="1"/>
    </xf>
    <xf numFmtId="0" fontId="27" fillId="25" borderId="90" xfId="0" applyFont="1" applyFill="1" applyBorder="1" applyAlignment="1">
      <alignment horizontal="left" wrapText="1"/>
    </xf>
    <xf numFmtId="0" fontId="27" fillId="25" borderId="46" xfId="0" applyFont="1" applyFill="1" applyBorder="1" applyAlignment="1">
      <alignment horizontal="left"/>
    </xf>
    <xf numFmtId="0" fontId="27" fillId="25" borderId="16" xfId="0" applyFont="1" applyFill="1" applyBorder="1" applyAlignment="1">
      <alignment horizontal="left"/>
    </xf>
    <xf numFmtId="0" fontId="27" fillId="25" borderId="32" xfId="0" applyFont="1" applyFill="1" applyBorder="1" applyAlignment="1">
      <alignment horizontal="left"/>
    </xf>
    <xf numFmtId="0" fontId="28" fillId="0" borderId="0" xfId="21" applyFont="1" applyAlignment="1">
      <alignment horizontal="left"/>
    </xf>
    <xf numFmtId="0" fontId="2" fillId="0" borderId="38" xfId="0" applyFont="1" applyBorder="1"/>
    <xf numFmtId="0" fontId="2" fillId="0" borderId="10" xfId="0" applyFont="1" applyBorder="1"/>
    <xf numFmtId="0" fontId="2" fillId="0" borderId="67" xfId="0" applyFont="1" applyBorder="1"/>
    <xf numFmtId="0" fontId="2" fillId="2" borderId="48" xfId="0" applyFont="1" applyFill="1" applyBorder="1" applyAlignment="1">
      <alignment horizontal="center"/>
    </xf>
    <xf numFmtId="0" fontId="2" fillId="2" borderId="49" xfId="0" applyFont="1" applyFill="1" applyBorder="1" applyAlignment="1">
      <alignment horizontal="center"/>
    </xf>
    <xf numFmtId="0" fontId="2" fillId="2" borderId="54" xfId="0" applyFont="1" applyFill="1" applyBorder="1" applyAlignment="1">
      <alignment horizontal="center"/>
    </xf>
    <xf numFmtId="0" fontId="2" fillId="0" borderId="59" xfId="0" applyFont="1" applyBorder="1"/>
    <xf numFmtId="0" fontId="2" fillId="0" borderId="77" xfId="0" applyFont="1" applyBorder="1"/>
    <xf numFmtId="0" fontId="2" fillId="0" borderId="50" xfId="0" applyFont="1" applyBorder="1"/>
    <xf numFmtId="0" fontId="2" fillId="2" borderId="43" xfId="0" applyFont="1" applyFill="1" applyBorder="1" applyAlignment="1">
      <alignment horizontal="center"/>
    </xf>
    <xf numFmtId="0" fontId="2" fillId="2" borderId="20" xfId="0" applyFont="1" applyFill="1" applyBorder="1" applyAlignment="1">
      <alignment horizontal="center"/>
    </xf>
    <xf numFmtId="0" fontId="2" fillId="2" borderId="42" xfId="0" applyFont="1" applyFill="1" applyBorder="1" applyAlignment="1">
      <alignment horizontal="center"/>
    </xf>
    <xf numFmtId="0" fontId="18" fillId="27" borderId="15" xfId="21" applyFont="1" applyFill="1" applyBorder="1" applyAlignment="1" applyProtection="1">
      <alignment horizontal="center"/>
      <protection locked="0"/>
    </xf>
    <xf numFmtId="0" fontId="18" fillId="27" borderId="14" xfId="21" applyFont="1" applyFill="1" applyBorder="1" applyAlignment="1" applyProtection="1">
      <alignment horizontal="center"/>
      <protection locked="0"/>
    </xf>
    <xf numFmtId="14" fontId="18" fillId="28" borderId="2" xfId="21" applyNumberFormat="1" applyFont="1" applyFill="1" applyBorder="1" applyAlignment="1">
      <alignment horizontal="center"/>
    </xf>
    <xf numFmtId="14" fontId="18" fillId="16" borderId="1" xfId="21" applyNumberFormat="1" applyFont="1" applyFill="1" applyBorder="1" applyAlignment="1">
      <alignment horizontal="center"/>
    </xf>
    <xf numFmtId="14" fontId="18" fillId="28" borderId="18" xfId="21" applyNumberFormat="1" applyFont="1" applyFill="1" applyBorder="1" applyAlignment="1">
      <alignment horizontal="center"/>
    </xf>
    <xf numFmtId="14" fontId="18" fillId="16" borderId="18" xfId="21" applyNumberFormat="1" applyFont="1" applyFill="1" applyBorder="1" applyAlignment="1">
      <alignment horizontal="center"/>
    </xf>
    <xf numFmtId="14" fontId="18" fillId="27" borderId="7" xfId="0" applyNumberFormat="1" applyFont="1" applyFill="1" applyBorder="1" applyAlignment="1">
      <alignment horizontal="center"/>
    </xf>
    <xf numFmtId="0" fontId="18" fillId="27" borderId="8" xfId="0" applyFont="1" applyFill="1" applyBorder="1" applyAlignment="1">
      <alignment horizontal="center"/>
    </xf>
    <xf numFmtId="0" fontId="27" fillId="0" borderId="2" xfId="21" applyFont="1" applyBorder="1" applyAlignment="1" applyProtection="1">
      <alignment horizontal="left" wrapText="1"/>
      <protection locked="0"/>
    </xf>
    <xf numFmtId="0" fontId="27" fillId="0" borderId="18" xfId="21" applyFont="1" applyBorder="1" applyAlignment="1" applyProtection="1">
      <alignment horizontal="left" wrapText="1"/>
      <protection locked="0"/>
    </xf>
    <xf numFmtId="0" fontId="27" fillId="0" borderId="1" xfId="21" applyFont="1" applyBorder="1" applyAlignment="1" applyProtection="1">
      <alignment horizontal="left" wrapText="1"/>
      <protection locked="0"/>
    </xf>
    <xf numFmtId="0" fontId="27" fillId="0" borderId="60" xfId="21" applyFont="1" applyBorder="1" applyAlignment="1" applyProtection="1">
      <alignment horizontal="left" wrapText="1"/>
      <protection locked="0"/>
    </xf>
    <xf numFmtId="0" fontId="27" fillId="0" borderId="2" xfId="21" applyFont="1" applyBorder="1" applyAlignment="1" applyProtection="1">
      <alignment horizontal="left"/>
      <protection locked="0"/>
    </xf>
    <xf numFmtId="0" fontId="27" fillId="0" borderId="18" xfId="21" applyFont="1" applyBorder="1" applyAlignment="1" applyProtection="1">
      <alignment horizontal="left"/>
      <protection locked="0"/>
    </xf>
    <xf numFmtId="0" fontId="27" fillId="0" borderId="1" xfId="21" applyFont="1" applyBorder="1" applyAlignment="1" applyProtection="1">
      <alignment horizontal="left"/>
      <protection locked="0"/>
    </xf>
    <xf numFmtId="0" fontId="18" fillId="28" borderId="2" xfId="21" applyFont="1" applyFill="1" applyBorder="1" applyAlignment="1" applyProtection="1">
      <alignment horizontal="center"/>
      <protection locked="0"/>
    </xf>
    <xf numFmtId="0" fontId="18" fillId="16" borderId="1" xfId="21" applyFont="1" applyFill="1" applyBorder="1" applyAlignment="1" applyProtection="1">
      <alignment horizontal="center"/>
      <protection locked="0"/>
    </xf>
    <xf numFmtId="0" fontId="28" fillId="2" borderId="9" xfId="0" applyFont="1" applyFill="1" applyBorder="1" applyAlignment="1">
      <alignment horizontal="right"/>
    </xf>
    <xf numFmtId="0" fontId="28" fillId="2" borderId="105" xfId="0" applyFont="1" applyFill="1" applyBorder="1" applyAlignment="1">
      <alignment horizontal="right"/>
    </xf>
    <xf numFmtId="0" fontId="18" fillId="30" borderId="2" xfId="0" applyFont="1" applyFill="1" applyBorder="1" applyAlignment="1">
      <alignment horizontal="center"/>
    </xf>
    <xf numFmtId="0" fontId="18" fillId="19" borderId="18" xfId="0" applyFont="1" applyFill="1" applyBorder="1" applyAlignment="1">
      <alignment horizontal="center"/>
    </xf>
    <xf numFmtId="0" fontId="18" fillId="19" borderId="1" xfId="0" applyFont="1" applyFill="1" applyBorder="1" applyAlignment="1">
      <alignment horizontal="center"/>
    </xf>
    <xf numFmtId="0" fontId="2" fillId="0" borderId="57" xfId="0" applyFont="1" applyBorder="1"/>
    <xf numFmtId="0" fontId="2" fillId="0" borderId="61" xfId="0" applyFont="1" applyBorder="1"/>
    <xf numFmtId="0" fontId="2" fillId="0" borderId="72" xfId="0" applyFont="1" applyBorder="1"/>
    <xf numFmtId="0" fontId="2" fillId="2" borderId="9"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8" fillId="0" borderId="0" xfId="21" applyFont="1" applyAlignment="1" applyProtection="1">
      <alignment horizontal="center"/>
      <protection locked="0"/>
    </xf>
    <xf numFmtId="0" fontId="28" fillId="0" borderId="0" xfId="21" applyFont="1" applyAlignment="1" applyProtection="1">
      <alignment horizontal="right"/>
      <protection locked="0"/>
    </xf>
    <xf numFmtId="0" fontId="18" fillId="16" borderId="18" xfId="21" applyFont="1" applyFill="1" applyBorder="1" applyAlignment="1" applyProtection="1">
      <alignment horizontal="center"/>
      <protection locked="0"/>
    </xf>
    <xf numFmtId="0" fontId="28" fillId="2" borderId="2" xfId="0" applyFont="1" applyFill="1" applyBorder="1" applyAlignment="1">
      <alignment horizontal="right"/>
    </xf>
    <xf numFmtId="0" fontId="28" fillId="2" borderId="18" xfId="0" applyFont="1" applyFill="1" applyBorder="1" applyAlignment="1">
      <alignment horizontal="right"/>
    </xf>
    <xf numFmtId="0" fontId="28" fillId="2" borderId="64" xfId="0" applyFont="1" applyFill="1" applyBorder="1" applyAlignment="1">
      <alignment horizontal="right"/>
    </xf>
    <xf numFmtId="0" fontId="18" fillId="28" borderId="18" xfId="0" applyFont="1" applyFill="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10" xfId="0" applyFont="1" applyBorder="1" applyAlignment="1">
      <alignment horizontal="left"/>
    </xf>
    <xf numFmtId="0" fontId="2" fillId="0" borderId="67" xfId="0" applyFont="1" applyBorder="1" applyAlignment="1">
      <alignment horizontal="left"/>
    </xf>
    <xf numFmtId="0" fontId="2" fillId="0" borderId="77" xfId="0" applyFont="1" applyBorder="1" applyAlignment="1">
      <alignment horizontal="left"/>
    </xf>
    <xf numFmtId="0" fontId="2" fillId="0" borderId="50" xfId="0" applyFont="1" applyBorder="1" applyAlignment="1">
      <alignment horizontal="left"/>
    </xf>
    <xf numFmtId="0" fontId="18" fillId="28" borderId="9" xfId="21" applyFont="1" applyFill="1" applyBorder="1" applyAlignment="1" applyProtection="1">
      <alignment horizontal="center" wrapText="1"/>
      <protection locked="0"/>
    </xf>
    <xf numFmtId="0" fontId="18" fillId="16" borderId="8" xfId="21" applyFont="1" applyFill="1" applyBorder="1" applyAlignment="1" applyProtection="1">
      <alignment horizontal="center" wrapText="1"/>
      <protection locked="0"/>
    </xf>
    <xf numFmtId="0" fontId="28" fillId="0" borderId="0" xfId="21" applyFont="1" applyAlignment="1">
      <alignment horizontal="left" indent="2"/>
    </xf>
    <xf numFmtId="0" fontId="18" fillId="28" borderId="15" xfId="0" applyFont="1" applyFill="1" applyBorder="1" applyAlignment="1">
      <alignment horizontal="center"/>
    </xf>
    <xf numFmtId="0" fontId="18" fillId="16" borderId="4" xfId="0" applyFont="1" applyFill="1" applyBorder="1" applyAlignment="1">
      <alignment horizontal="center"/>
    </xf>
    <xf numFmtId="0" fontId="18" fillId="16" borderId="14" xfId="0" applyFont="1" applyFill="1" applyBorder="1" applyAlignment="1">
      <alignment horizontal="center"/>
    </xf>
    <xf numFmtId="0" fontId="18" fillId="28" borderId="15" xfId="21" applyFont="1" applyFill="1" applyBorder="1" applyAlignment="1" applyProtection="1">
      <alignment horizontal="center" wrapText="1"/>
      <protection locked="0"/>
    </xf>
    <xf numFmtId="0" fontId="18" fillId="16" borderId="14" xfId="21" applyFont="1" applyFill="1" applyBorder="1" applyAlignment="1" applyProtection="1">
      <alignment horizontal="center" wrapText="1"/>
      <protection locked="0"/>
    </xf>
    <xf numFmtId="0" fontId="2" fillId="0" borderId="18" xfId="47" applyFont="1" applyBorder="1" applyAlignment="1">
      <alignment horizontal="left" vertical="center" wrapText="1"/>
    </xf>
    <xf numFmtId="0" fontId="2" fillId="0" borderId="1" xfId="47" applyFont="1" applyBorder="1" applyAlignment="1">
      <alignment horizontal="left" vertical="center" wrapText="1"/>
    </xf>
    <xf numFmtId="0" fontId="18" fillId="28" borderId="2" xfId="32" applyFont="1" applyFill="1" applyBorder="1" applyAlignment="1">
      <alignment horizontal="center"/>
    </xf>
    <xf numFmtId="0" fontId="18" fillId="16" borderId="18" xfId="32" applyFont="1" applyFill="1" applyBorder="1" applyAlignment="1">
      <alignment horizontal="center"/>
    </xf>
    <xf numFmtId="0" fontId="18" fillId="16" borderId="1" xfId="32" applyFont="1" applyFill="1" applyBorder="1" applyAlignment="1">
      <alignment horizontal="center"/>
    </xf>
    <xf numFmtId="0" fontId="18" fillId="30" borderId="14" xfId="22" applyFont="1" applyFill="1" applyBorder="1" applyAlignment="1">
      <alignment horizontal="center" vertical="center" wrapText="1"/>
    </xf>
    <xf numFmtId="0" fontId="18" fillId="19" borderId="8" xfId="22" applyFont="1" applyFill="1" applyBorder="1" applyAlignment="1">
      <alignment horizontal="center" vertical="center" wrapText="1"/>
    </xf>
    <xf numFmtId="0" fontId="18" fillId="30" borderId="65" xfId="22" applyFont="1" applyFill="1" applyBorder="1" applyAlignment="1">
      <alignment horizontal="center" vertical="center" wrapText="1"/>
    </xf>
    <xf numFmtId="0" fontId="18" fillId="19" borderId="62" xfId="22" applyFont="1" applyFill="1" applyBorder="1" applyAlignment="1">
      <alignment horizontal="center" vertical="center" wrapText="1"/>
    </xf>
    <xf numFmtId="0" fontId="18" fillId="30" borderId="40" xfId="22" applyFont="1" applyFill="1" applyBorder="1" applyAlignment="1">
      <alignment horizontal="center" vertical="center" wrapText="1"/>
    </xf>
    <xf numFmtId="0" fontId="18" fillId="19" borderId="39" xfId="22" applyFont="1" applyFill="1" applyBorder="1" applyAlignment="1">
      <alignment horizontal="center" vertical="center" wrapText="1"/>
    </xf>
    <xf numFmtId="0" fontId="2" fillId="0" borderId="24" xfId="32" applyFont="1" applyBorder="1" applyAlignment="1">
      <alignment horizontal="left" vertical="center" wrapText="1"/>
    </xf>
    <xf numFmtId="0" fontId="2" fillId="0" borderId="63" xfId="32" applyFont="1" applyBorder="1" applyAlignment="1">
      <alignment horizontal="left" vertical="center" wrapText="1"/>
    </xf>
    <xf numFmtId="0" fontId="2" fillId="0" borderId="35" xfId="32" applyFont="1" applyBorder="1" applyAlignment="1">
      <alignment horizontal="left" vertical="center" wrapText="1"/>
    </xf>
    <xf numFmtId="9" fontId="18" fillId="30" borderId="65" xfId="25" applyFont="1" applyFill="1" applyBorder="1" applyAlignment="1">
      <alignment horizontal="center" vertical="center" wrapText="1"/>
    </xf>
    <xf numFmtId="9" fontId="18" fillId="19" borderId="62" xfId="25" applyFont="1" applyFill="1" applyBorder="1" applyAlignment="1">
      <alignment horizontal="center" vertical="center" wrapText="1"/>
    </xf>
    <xf numFmtId="9" fontId="18" fillId="30" borderId="40" xfId="25" applyFont="1" applyFill="1" applyBorder="1" applyAlignment="1">
      <alignment horizontal="center" vertical="center" wrapText="1"/>
    </xf>
    <xf numFmtId="9" fontId="18" fillId="19" borderId="39" xfId="25" applyFont="1" applyFill="1" applyBorder="1" applyAlignment="1">
      <alignment horizontal="center" vertical="center" wrapText="1"/>
    </xf>
    <xf numFmtId="0" fontId="28" fillId="2" borderId="2" xfId="4" applyFont="1" applyFill="1" applyBorder="1" applyAlignment="1">
      <alignment horizontal="right" vertical="center" wrapText="1"/>
    </xf>
    <xf numFmtId="0" fontId="28" fillId="2" borderId="64" xfId="4" applyFont="1" applyFill="1" applyBorder="1" applyAlignment="1">
      <alignment horizontal="right" vertical="center" wrapText="1"/>
    </xf>
    <xf numFmtId="0" fontId="28" fillId="2" borderId="15" xfId="4" applyFont="1" applyFill="1" applyBorder="1" applyAlignment="1">
      <alignment horizontal="right" vertical="center" wrapText="1"/>
    </xf>
    <xf numFmtId="0" fontId="28" fillId="2" borderId="4" xfId="4" applyFont="1" applyFill="1" applyBorder="1" applyAlignment="1">
      <alignment horizontal="right" vertical="center" wrapText="1"/>
    </xf>
    <xf numFmtId="0" fontId="28" fillId="2" borderId="107" xfId="4" applyFont="1" applyFill="1" applyBorder="1" applyAlignment="1">
      <alignment horizontal="right" vertical="center" wrapText="1"/>
    </xf>
    <xf numFmtId="0" fontId="58" fillId="30" borderId="60" xfId="0" applyFont="1" applyFill="1" applyBorder="1" applyAlignment="1">
      <alignment horizontal="center"/>
    </xf>
    <xf numFmtId="0" fontId="58" fillId="19" borderId="64" xfId="0" applyFont="1" applyFill="1" applyBorder="1" applyAlignment="1">
      <alignment horizontal="center"/>
    </xf>
    <xf numFmtId="0" fontId="18" fillId="30" borderId="60" xfId="0" applyFont="1" applyFill="1" applyBorder="1" applyAlignment="1">
      <alignment horizontal="center"/>
    </xf>
    <xf numFmtId="0" fontId="18" fillId="19" borderId="64" xfId="0" applyFont="1" applyFill="1" applyBorder="1" applyAlignment="1">
      <alignment horizontal="center"/>
    </xf>
    <xf numFmtId="165" fontId="18" fillId="28" borderId="2" xfId="8" applyFont="1" applyFill="1" applyBorder="1" applyAlignment="1">
      <alignment horizontal="center"/>
    </xf>
    <xf numFmtId="165" fontId="18" fillId="16" borderId="64" xfId="8" applyFont="1" applyFill="1" applyBorder="1" applyAlignment="1">
      <alignment horizontal="center"/>
    </xf>
    <xf numFmtId="0" fontId="18" fillId="28" borderId="2" xfId="7" applyFont="1" applyFill="1" applyBorder="1" applyAlignment="1">
      <alignment horizontal="center"/>
    </xf>
    <xf numFmtId="0" fontId="18" fillId="16" borderId="18" xfId="7" applyFont="1" applyFill="1" applyBorder="1" applyAlignment="1">
      <alignment horizontal="center"/>
    </xf>
    <xf numFmtId="0" fontId="18" fillId="16" borderId="1" xfId="7" applyFont="1" applyFill="1" applyBorder="1" applyAlignment="1">
      <alignment horizontal="center"/>
    </xf>
    <xf numFmtId="0" fontId="18" fillId="30" borderId="13" xfId="7" applyFont="1" applyFill="1" applyBorder="1" applyAlignment="1">
      <alignment horizontal="center" vertical="center" textRotation="180"/>
    </xf>
    <xf numFmtId="0" fontId="18" fillId="19" borderId="11" xfId="7" applyFont="1" applyFill="1" applyBorder="1" applyAlignment="1">
      <alignment horizontal="center" vertical="center" textRotation="180"/>
    </xf>
    <xf numFmtId="0" fontId="18" fillId="19" borderId="6" xfId="7" applyFont="1" applyFill="1" applyBorder="1" applyAlignment="1">
      <alignment horizontal="center" vertical="center" textRotation="180"/>
    </xf>
    <xf numFmtId="165" fontId="28" fillId="2" borderId="46" xfId="8" applyFont="1" applyFill="1" applyBorder="1"/>
    <xf numFmtId="165" fontId="28" fillId="2" borderId="16" xfId="8" applyFont="1" applyFill="1" applyBorder="1"/>
    <xf numFmtId="165" fontId="28" fillId="2" borderId="48" xfId="8" applyFont="1" applyFill="1" applyBorder="1"/>
    <xf numFmtId="165" fontId="28" fillId="2" borderId="49" xfId="8" applyFont="1" applyFill="1" applyBorder="1"/>
    <xf numFmtId="165" fontId="27" fillId="0" borderId="5" xfId="8" applyFont="1" applyBorder="1" applyAlignment="1">
      <alignment horizontal="left"/>
    </xf>
    <xf numFmtId="165" fontId="27" fillId="0" borderId="0" xfId="8" applyFont="1" applyAlignment="1">
      <alignment horizontal="left"/>
    </xf>
    <xf numFmtId="165" fontId="27" fillId="0" borderId="5" xfId="8" applyFont="1" applyBorder="1"/>
    <xf numFmtId="165" fontId="27" fillId="0" borderId="0" xfId="8" applyFont="1"/>
    <xf numFmtId="167" fontId="27" fillId="0" borderId="5" xfId="1" applyNumberFormat="1" applyFont="1" applyFill="1" applyBorder="1" applyAlignment="1">
      <alignment horizontal="left"/>
    </xf>
    <xf numFmtId="167" fontId="27" fillId="0" borderId="0" xfId="1" applyNumberFormat="1" applyFont="1" applyFill="1" applyBorder="1" applyAlignment="1">
      <alignment horizontal="left"/>
    </xf>
    <xf numFmtId="0" fontId="18" fillId="28" borderId="13" xfId="0" applyFont="1" applyFill="1" applyBorder="1" applyAlignment="1">
      <alignment horizontal="center"/>
    </xf>
    <xf numFmtId="0" fontId="18" fillId="16" borderId="6" xfId="0" applyFont="1" applyFill="1" applyBorder="1" applyAlignment="1">
      <alignment horizontal="center"/>
    </xf>
    <xf numFmtId="0" fontId="2" fillId="0" borderId="46" xfId="57" applyFont="1" applyBorder="1" applyAlignment="1">
      <alignment horizontal="left" vertical="center" wrapText="1"/>
    </xf>
    <xf numFmtId="0" fontId="2" fillId="0" borderId="16" xfId="57" applyFont="1" applyBorder="1" applyAlignment="1">
      <alignment horizontal="left" vertical="center" wrapText="1"/>
    </xf>
    <xf numFmtId="0" fontId="2" fillId="0" borderId="47" xfId="57" applyFont="1" applyBorder="1" applyAlignment="1">
      <alignment horizontal="left" vertical="center" wrapText="1"/>
    </xf>
    <xf numFmtId="0" fontId="2" fillId="0" borderId="48" xfId="57" applyFont="1" applyBorder="1" applyAlignment="1">
      <alignment horizontal="left" vertical="center" wrapText="1"/>
    </xf>
    <xf numFmtId="0" fontId="2" fillId="0" borderId="49" xfId="57" applyFont="1" applyBorder="1" applyAlignment="1">
      <alignment horizontal="left" vertical="center" wrapText="1"/>
    </xf>
    <xf numFmtId="0" fontId="2" fillId="0" borderId="54" xfId="57" applyFont="1" applyBorder="1" applyAlignment="1">
      <alignment horizontal="left" vertical="center" wrapText="1"/>
    </xf>
    <xf numFmtId="0" fontId="18" fillId="27" borderId="13" xfId="0" applyFont="1" applyFill="1" applyBorder="1" applyAlignment="1" applyProtection="1">
      <alignment horizontal="center" vertical="center" wrapText="1"/>
      <protection locked="0"/>
    </xf>
    <xf numFmtId="0" fontId="18" fillId="27" borderId="11" xfId="0" applyFont="1" applyFill="1" applyBorder="1" applyAlignment="1" applyProtection="1">
      <alignment horizontal="center" vertical="center"/>
      <protection locked="0"/>
    </xf>
    <xf numFmtId="0" fontId="18" fillId="27" borderId="6" xfId="0" applyFont="1" applyFill="1" applyBorder="1" applyAlignment="1" applyProtection="1">
      <alignment horizontal="center" vertical="center"/>
      <protection locked="0"/>
    </xf>
    <xf numFmtId="0" fontId="18" fillId="28" borderId="13" xfId="0" applyFont="1" applyFill="1" applyBorder="1" applyAlignment="1" applyProtection="1">
      <alignment horizontal="center" vertical="center" wrapText="1"/>
      <protection locked="0"/>
    </xf>
    <xf numFmtId="0" fontId="18" fillId="16" borderId="11" xfId="0" applyFont="1" applyFill="1" applyBorder="1" applyAlignment="1" applyProtection="1">
      <alignment horizontal="center" vertical="center"/>
      <protection locked="0"/>
    </xf>
    <xf numFmtId="0" fontId="18" fillId="16" borderId="6" xfId="0" applyFont="1" applyFill="1" applyBorder="1" applyAlignment="1" applyProtection="1">
      <alignment horizontal="center" vertical="center"/>
      <protection locked="0"/>
    </xf>
    <xf numFmtId="0" fontId="18" fillId="30" borderId="13" xfId="0" applyFont="1" applyFill="1" applyBorder="1" applyAlignment="1" applyProtection="1">
      <alignment horizontal="center" vertical="center" wrapText="1"/>
      <protection locked="0"/>
    </xf>
    <xf numFmtId="0" fontId="18" fillId="19" borderId="11" xfId="0" applyFont="1" applyFill="1" applyBorder="1" applyAlignment="1" applyProtection="1">
      <alignment horizontal="center" vertical="center"/>
      <protection locked="0"/>
    </xf>
    <xf numFmtId="0" fontId="18" fillId="19" borderId="6" xfId="0" applyFont="1" applyFill="1" applyBorder="1" applyAlignment="1" applyProtection="1">
      <alignment horizontal="center" vertical="center"/>
      <protection locked="0"/>
    </xf>
    <xf numFmtId="0" fontId="28" fillId="26" borderId="11" xfId="0" applyFont="1" applyFill="1" applyBorder="1" applyAlignment="1" applyProtection="1">
      <alignment horizontal="center" vertical="center"/>
      <protection locked="0"/>
    </xf>
    <xf numFmtId="0" fontId="28" fillId="26" borderId="6" xfId="0" applyFont="1" applyFill="1" applyBorder="1" applyAlignment="1" applyProtection="1">
      <alignment horizontal="center" vertical="center"/>
      <protection locked="0"/>
    </xf>
    <xf numFmtId="0" fontId="18" fillId="31" borderId="13" xfId="0" applyFont="1" applyFill="1" applyBorder="1" applyAlignment="1" applyProtection="1">
      <alignment horizontal="center" vertical="center" wrapText="1"/>
      <protection locked="0"/>
    </xf>
    <xf numFmtId="0" fontId="18" fillId="31" borderId="11" xfId="0" applyFont="1" applyFill="1" applyBorder="1" applyAlignment="1" applyProtection="1">
      <alignment horizontal="center" vertical="center"/>
      <protection locked="0"/>
    </xf>
    <xf numFmtId="0" fontId="18" fillId="31" borderId="6" xfId="0" applyFont="1" applyFill="1" applyBorder="1" applyAlignment="1" applyProtection="1">
      <alignment horizontal="center" vertical="center"/>
      <protection locked="0"/>
    </xf>
    <xf numFmtId="0" fontId="18" fillId="32" borderId="13" xfId="0" applyFont="1" applyFill="1" applyBorder="1" applyAlignment="1" applyProtection="1">
      <alignment horizontal="center" vertical="center" wrapText="1"/>
      <protection locked="0"/>
    </xf>
    <xf numFmtId="0" fontId="18" fillId="32" borderId="11" xfId="0" applyFont="1" applyFill="1" applyBorder="1" applyAlignment="1" applyProtection="1">
      <alignment horizontal="center" vertical="center"/>
      <protection locked="0"/>
    </xf>
    <xf numFmtId="0" fontId="18" fillId="32" borderId="6" xfId="0" applyFont="1" applyFill="1" applyBorder="1" applyAlignment="1" applyProtection="1">
      <alignment horizontal="center" vertical="center"/>
      <protection locked="0"/>
    </xf>
    <xf numFmtId="165" fontId="18" fillId="30" borderId="2" xfId="8" applyFont="1" applyFill="1" applyBorder="1" applyAlignment="1">
      <alignment horizontal="center"/>
    </xf>
    <xf numFmtId="165" fontId="18" fillId="19" borderId="18" xfId="8" applyFont="1" applyFill="1" applyBorder="1" applyAlignment="1">
      <alignment horizontal="center"/>
    </xf>
    <xf numFmtId="165" fontId="18" fillId="19" borderId="1" xfId="8" applyFont="1" applyFill="1" applyBorder="1" applyAlignment="1">
      <alignment horizontal="center"/>
    </xf>
    <xf numFmtId="164" fontId="18" fillId="30" borderId="18" xfId="2" applyNumberFormat="1" applyFont="1" applyFill="1" applyBorder="1" applyAlignment="1">
      <alignment horizontal="center"/>
    </xf>
    <xf numFmtId="164" fontId="18" fillId="19" borderId="18" xfId="2" applyNumberFormat="1" applyFont="1" applyFill="1" applyBorder="1" applyAlignment="1">
      <alignment horizontal="center"/>
    </xf>
    <xf numFmtId="0" fontId="18" fillId="28" borderId="2" xfId="55" applyFont="1" applyFill="1" applyBorder="1" applyAlignment="1">
      <alignment horizontal="center"/>
    </xf>
    <xf numFmtId="0" fontId="18" fillId="16" borderId="18" xfId="55" applyFont="1" applyFill="1" applyBorder="1" applyAlignment="1">
      <alignment horizontal="center"/>
    </xf>
    <xf numFmtId="0" fontId="18" fillId="16" borderId="1" xfId="55" applyFont="1" applyFill="1" applyBorder="1" applyAlignment="1">
      <alignment horizontal="center"/>
    </xf>
    <xf numFmtId="0" fontId="29" fillId="0" borderId="0" xfId="0" applyFont="1" applyAlignment="1">
      <alignment horizontal="center"/>
    </xf>
    <xf numFmtId="0" fontId="28" fillId="0" borderId="0" xfId="0" applyFont="1" applyAlignment="1">
      <alignment horizontal="center"/>
    </xf>
    <xf numFmtId="0" fontId="28" fillId="0" borderId="12" xfId="55" applyFont="1" applyBorder="1" applyAlignment="1">
      <alignment horizontal="center" wrapText="1"/>
    </xf>
    <xf numFmtId="0" fontId="28" fillId="0" borderId="8" xfId="55" applyFont="1" applyBorder="1" applyAlignment="1">
      <alignment horizontal="center"/>
    </xf>
    <xf numFmtId="49" fontId="18" fillId="28" borderId="13" xfId="55" applyNumberFormat="1" applyFont="1" applyFill="1" applyBorder="1" applyAlignment="1">
      <alignment horizontal="center" wrapText="1"/>
    </xf>
    <xf numFmtId="49" fontId="18" fillId="16" borderId="6" xfId="55" applyNumberFormat="1" applyFont="1" applyFill="1" applyBorder="1" applyAlignment="1">
      <alignment horizontal="center" wrapText="1"/>
    </xf>
    <xf numFmtId="0" fontId="18" fillId="27" borderId="13" xfId="0" applyFont="1" applyFill="1" applyBorder="1" applyAlignment="1">
      <alignment horizontal="center" vertical="center" wrapText="1"/>
    </xf>
    <xf numFmtId="0" fontId="18" fillId="27" borderId="6" xfId="0" applyFont="1" applyFill="1" applyBorder="1" applyAlignment="1">
      <alignment horizontal="center" vertical="center" wrapText="1"/>
    </xf>
    <xf numFmtId="164" fontId="21" fillId="30" borderId="58" xfId="5" applyNumberFormat="1" applyFont="1" applyFill="1" applyBorder="1" applyAlignment="1" applyProtection="1">
      <alignment horizontal="center"/>
      <protection locked="0"/>
    </xf>
    <xf numFmtId="164" fontId="21" fillId="19" borderId="45" xfId="5" applyNumberFormat="1" applyFont="1" applyFill="1" applyBorder="1" applyAlignment="1" applyProtection="1">
      <alignment horizontal="center"/>
      <protection locked="0"/>
    </xf>
    <xf numFmtId="164" fontId="21" fillId="19" borderId="51" xfId="5" applyNumberFormat="1" applyFont="1" applyFill="1" applyBorder="1" applyAlignment="1" applyProtection="1">
      <alignment horizontal="center"/>
      <protection locked="0"/>
    </xf>
    <xf numFmtId="0" fontId="18" fillId="30" borderId="52" xfId="7" applyFont="1" applyFill="1" applyBorder="1" applyAlignment="1" applyProtection="1">
      <alignment horizontal="center" vertical="center" textRotation="90"/>
      <protection locked="0"/>
    </xf>
    <xf numFmtId="0" fontId="18" fillId="19" borderId="3" xfId="7" applyFont="1" applyFill="1" applyBorder="1" applyAlignment="1" applyProtection="1">
      <alignment horizontal="center" vertical="center" textRotation="90"/>
      <protection locked="0"/>
    </xf>
    <xf numFmtId="0" fontId="18" fillId="19" borderId="26" xfId="7" applyFont="1" applyFill="1" applyBorder="1" applyAlignment="1" applyProtection="1">
      <alignment horizontal="center" vertical="center" textRotation="90"/>
      <protection locked="0"/>
    </xf>
    <xf numFmtId="164" fontId="21" fillId="30" borderId="25" xfId="5" applyNumberFormat="1" applyFont="1" applyFill="1" applyBorder="1" applyAlignment="1" applyProtection="1">
      <alignment horizontal="center"/>
      <protection locked="0"/>
    </xf>
    <xf numFmtId="164" fontId="21" fillId="19" borderId="3" xfId="5" applyNumberFormat="1" applyFont="1" applyFill="1" applyBorder="1" applyAlignment="1" applyProtection="1">
      <alignment horizontal="center"/>
      <protection locked="0"/>
    </xf>
    <xf numFmtId="164" fontId="21" fillId="19" borderId="53" xfId="5" applyNumberFormat="1" applyFont="1" applyFill="1" applyBorder="1" applyAlignment="1" applyProtection="1">
      <alignment horizontal="center"/>
      <protection locked="0"/>
    </xf>
    <xf numFmtId="0" fontId="27" fillId="0" borderId="46" xfId="7" applyFont="1" applyBorder="1" applyAlignment="1" applyProtection="1">
      <alignment horizontal="justify" vertical="center" wrapText="1"/>
      <protection locked="0"/>
    </xf>
    <xf numFmtId="0" fontId="2" fillId="0" borderId="47" xfId="16" applyFont="1" applyBorder="1" applyAlignment="1" applyProtection="1">
      <alignment horizontal="justify" vertical="center" wrapText="1"/>
      <protection locked="0"/>
    </xf>
    <xf numFmtId="0" fontId="27" fillId="0" borderId="46" xfId="7" applyFont="1" applyBorder="1" applyAlignment="1" applyProtection="1">
      <alignment horizontal="justify" vertical="center"/>
      <protection locked="0"/>
    </xf>
    <xf numFmtId="0" fontId="27" fillId="0" borderId="47" xfId="7" applyFont="1" applyBorder="1" applyAlignment="1" applyProtection="1">
      <alignment horizontal="justify" vertical="center"/>
      <protection locked="0"/>
    </xf>
    <xf numFmtId="0" fontId="27" fillId="0" borderId="38" xfId="7" applyFont="1" applyBorder="1" applyAlignment="1" applyProtection="1">
      <alignment horizontal="justify" vertical="center"/>
      <protection locked="0"/>
    </xf>
    <xf numFmtId="0" fontId="27" fillId="0" borderId="67" xfId="7" applyFont="1" applyBorder="1" applyAlignment="1" applyProtection="1">
      <alignment horizontal="justify" vertical="center"/>
      <protection locked="0"/>
    </xf>
    <xf numFmtId="0" fontId="27" fillId="0" borderId="47" xfId="7" applyFont="1" applyBorder="1" applyAlignment="1" applyProtection="1">
      <alignment horizontal="justify" vertical="center" wrapText="1"/>
      <protection locked="0"/>
    </xf>
    <xf numFmtId="0" fontId="27" fillId="2" borderId="24" xfId="7" applyFont="1" applyFill="1" applyBorder="1" applyAlignment="1" applyProtection="1">
      <alignment horizontal="left" vertical="center"/>
      <protection locked="0"/>
    </xf>
    <xf numFmtId="0" fontId="27" fillId="2" borderId="35" xfId="7" applyFont="1" applyFill="1" applyBorder="1" applyAlignment="1" applyProtection="1">
      <alignment horizontal="left" vertical="center"/>
      <protection locked="0"/>
    </xf>
    <xf numFmtId="0" fontId="19" fillId="0" borderId="38" xfId="7" applyFont="1" applyBorder="1" applyAlignment="1" applyProtection="1">
      <alignment horizontal="justify" vertical="center"/>
      <protection locked="0"/>
    </xf>
    <xf numFmtId="0" fontId="19" fillId="0" borderId="67" xfId="7" applyFont="1" applyBorder="1" applyAlignment="1" applyProtection="1">
      <alignment horizontal="justify" vertical="center"/>
      <protection locked="0"/>
    </xf>
    <xf numFmtId="0" fontId="27" fillId="0" borderId="97" xfId="7" applyFont="1" applyBorder="1" applyAlignment="1" applyProtection="1">
      <alignment horizontal="center" vertical="center"/>
      <protection locked="0"/>
    </xf>
    <xf numFmtId="0" fontId="27" fillId="0" borderId="37" xfId="7" applyFont="1" applyBorder="1" applyAlignment="1" applyProtection="1">
      <alignment horizontal="center" vertical="center"/>
      <protection locked="0"/>
    </xf>
    <xf numFmtId="0" fontId="27" fillId="0" borderId="48" xfId="7" applyFont="1" applyBorder="1" applyAlignment="1" applyProtection="1">
      <alignment horizontal="left" vertical="center" wrapText="1"/>
      <protection locked="0"/>
    </xf>
    <xf numFmtId="0" fontId="27" fillId="0" borderId="54" xfId="7" applyFont="1" applyBorder="1" applyAlignment="1" applyProtection="1">
      <alignment horizontal="left" vertical="center" wrapText="1"/>
      <protection locked="0"/>
    </xf>
    <xf numFmtId="0" fontId="28" fillId="0" borderId="57" xfId="7" applyFont="1" applyBorder="1" applyAlignment="1" applyProtection="1">
      <alignment horizontal="left" wrapText="1"/>
      <protection locked="0"/>
    </xf>
    <xf numFmtId="0" fontId="28" fillId="0" borderId="72" xfId="7" applyFont="1" applyBorder="1" applyAlignment="1" applyProtection="1">
      <alignment horizontal="left" wrapText="1"/>
      <protection locked="0"/>
    </xf>
    <xf numFmtId="0" fontId="27" fillId="0" borderId="52" xfId="7" applyFont="1" applyBorder="1" applyAlignment="1" applyProtection="1">
      <alignment horizontal="justify" vertical="top" wrapText="1"/>
      <protection locked="0"/>
    </xf>
    <xf numFmtId="0" fontId="27" fillId="0" borderId="53" xfId="7" applyFont="1" applyBorder="1" applyAlignment="1" applyProtection="1">
      <alignment horizontal="justify" vertical="top" wrapText="1"/>
      <protection locked="0"/>
    </xf>
    <xf numFmtId="0" fontId="27" fillId="0" borderId="5" xfId="7" applyFont="1" applyBorder="1" applyAlignment="1" applyProtection="1">
      <alignment horizontal="justify" vertical="top" wrapText="1"/>
      <protection locked="0"/>
    </xf>
    <xf numFmtId="0" fontId="27" fillId="0" borderId="12" xfId="7" applyFont="1" applyBorder="1" applyAlignment="1" applyProtection="1">
      <alignment horizontal="justify" vertical="top" wrapText="1"/>
      <protection locked="0"/>
    </xf>
    <xf numFmtId="0" fontId="18" fillId="30" borderId="15" xfId="7" applyFont="1" applyFill="1" applyBorder="1" applyAlignment="1" applyProtection="1">
      <alignment horizontal="center"/>
      <protection locked="0"/>
    </xf>
    <xf numFmtId="0" fontId="18" fillId="19" borderId="4" xfId="7" applyFont="1" applyFill="1" applyBorder="1" applyAlignment="1" applyProtection="1">
      <alignment horizontal="center"/>
      <protection locked="0"/>
    </xf>
    <xf numFmtId="0" fontId="18" fillId="19" borderId="14" xfId="7" applyFont="1" applyFill="1" applyBorder="1" applyAlignment="1" applyProtection="1">
      <alignment horizontal="center"/>
      <protection locked="0"/>
    </xf>
    <xf numFmtId="0" fontId="27" fillId="0" borderId="9" xfId="7" applyFont="1" applyBorder="1" applyAlignment="1" applyProtection="1">
      <alignment horizontal="justify" vertical="top" wrapText="1"/>
      <protection locked="0"/>
    </xf>
    <xf numFmtId="0" fontId="27" fillId="0" borderId="8" xfId="7" applyFont="1" applyBorder="1" applyAlignment="1" applyProtection="1">
      <alignment horizontal="justify" vertical="top" wrapText="1"/>
      <protection locked="0"/>
    </xf>
    <xf numFmtId="0" fontId="18" fillId="28" borderId="18" xfId="7" applyFont="1" applyFill="1" applyBorder="1" applyAlignment="1" applyProtection="1">
      <alignment horizontal="center" vertical="center"/>
      <protection locked="0"/>
    </xf>
    <xf numFmtId="0" fontId="18" fillId="16" borderId="18" xfId="7" applyFont="1" applyFill="1" applyBorder="1" applyAlignment="1" applyProtection="1">
      <alignment horizontal="center" vertical="center"/>
      <protection locked="0"/>
    </xf>
    <xf numFmtId="0" fontId="18" fillId="16" borderId="1" xfId="7" applyFont="1" applyFill="1" applyBorder="1" applyAlignment="1" applyProtection="1">
      <alignment horizontal="center" vertical="center"/>
      <protection locked="0"/>
    </xf>
    <xf numFmtId="0" fontId="27" fillId="28" borderId="2" xfId="7" applyFont="1" applyFill="1" applyBorder="1" applyAlignment="1" applyProtection="1">
      <alignment horizontal="center"/>
      <protection locked="0"/>
    </xf>
    <xf numFmtId="0" fontId="27" fillId="16" borderId="18" xfId="7" applyFont="1" applyFill="1" applyBorder="1" applyAlignment="1" applyProtection="1">
      <alignment horizontal="center"/>
      <protection locked="0"/>
    </xf>
    <xf numFmtId="0" fontId="27" fillId="16" borderId="1" xfId="7" applyFont="1" applyFill="1" applyBorder="1" applyAlignment="1" applyProtection="1">
      <alignment horizontal="center"/>
      <protection locked="0"/>
    </xf>
    <xf numFmtId="0" fontId="18" fillId="30" borderId="13" xfId="7" applyFont="1" applyFill="1" applyBorder="1" applyAlignment="1" applyProtection="1">
      <alignment horizontal="center" vertical="center" textRotation="90" wrapText="1"/>
      <protection locked="0"/>
    </xf>
    <xf numFmtId="0" fontId="18" fillId="19" borderId="11" xfId="7" applyFont="1" applyFill="1" applyBorder="1" applyAlignment="1" applyProtection="1">
      <alignment horizontal="center" vertical="center" textRotation="90" wrapText="1"/>
      <protection locked="0"/>
    </xf>
    <xf numFmtId="0" fontId="18" fillId="19" borderId="6" xfId="7" applyFont="1" applyFill="1" applyBorder="1" applyAlignment="1" applyProtection="1">
      <alignment horizontal="center" vertical="center" textRotation="90" wrapText="1"/>
      <protection locked="0"/>
    </xf>
    <xf numFmtId="0" fontId="27" fillId="0" borderId="46" xfId="7" applyFont="1" applyBorder="1" applyAlignment="1" applyProtection="1">
      <alignment horizontal="left" vertical="center" wrapText="1"/>
      <protection locked="0"/>
    </xf>
    <xf numFmtId="0" fontId="27" fillId="0" borderId="47" xfId="7" applyFont="1" applyBorder="1" applyAlignment="1" applyProtection="1">
      <alignment horizontal="left" vertical="center" wrapText="1"/>
      <protection locked="0"/>
    </xf>
    <xf numFmtId="0" fontId="21" fillId="28" borderId="2" xfId="7" applyFont="1" applyFill="1" applyBorder="1" applyAlignment="1" applyProtection="1">
      <alignment horizontal="center"/>
      <protection locked="0"/>
    </xf>
    <xf numFmtId="0" fontId="21" fillId="16" borderId="18" xfId="7" applyFont="1" applyFill="1" applyBorder="1" applyAlignment="1" applyProtection="1">
      <alignment horizontal="center"/>
      <protection locked="0"/>
    </xf>
    <xf numFmtId="0" fontId="21" fillId="16" borderId="1" xfId="7" applyFont="1" applyFill="1" applyBorder="1" applyAlignment="1" applyProtection="1">
      <alignment horizontal="center"/>
      <protection locked="0"/>
    </xf>
    <xf numFmtId="0" fontId="18" fillId="30" borderId="99" xfId="7" applyFont="1" applyFill="1" applyBorder="1" applyAlignment="1" applyProtection="1">
      <alignment horizontal="center" vertical="center" textRotation="90" wrapText="1"/>
      <protection locked="0"/>
    </xf>
    <xf numFmtId="0" fontId="18" fillId="19" borderId="74" xfId="7" applyFont="1" applyFill="1" applyBorder="1" applyAlignment="1" applyProtection="1">
      <alignment horizontal="center" vertical="center" textRotation="90" wrapText="1"/>
      <protection locked="0"/>
    </xf>
    <xf numFmtId="0" fontId="18" fillId="19" borderId="76" xfId="7" applyFont="1" applyFill="1" applyBorder="1" applyAlignment="1" applyProtection="1">
      <alignment horizontal="center" vertical="center" textRotation="90" wrapText="1"/>
      <protection locked="0"/>
    </xf>
    <xf numFmtId="0" fontId="27" fillId="0" borderId="44" xfId="7" applyFont="1" applyBorder="1" applyAlignment="1" applyProtection="1">
      <alignment horizontal="justify" vertical="center" wrapText="1"/>
      <protection locked="0"/>
    </xf>
    <xf numFmtId="0" fontId="27" fillId="0" borderId="51" xfId="7" applyFont="1" applyBorder="1" applyAlignment="1" applyProtection="1">
      <alignment horizontal="justify" vertical="center" wrapText="1"/>
      <protection locked="0"/>
    </xf>
    <xf numFmtId="0" fontId="27" fillId="0" borderId="38" xfId="7" applyFont="1" applyBorder="1" applyAlignment="1" applyProtection="1">
      <alignment horizontal="left" vertical="center"/>
      <protection locked="0"/>
    </xf>
    <xf numFmtId="0" fontId="27" fillId="0" borderId="67" xfId="7" applyFont="1" applyBorder="1" applyAlignment="1" applyProtection="1">
      <alignment horizontal="left" vertical="center"/>
      <protection locked="0"/>
    </xf>
    <xf numFmtId="0" fontId="18" fillId="30" borderId="44" xfId="7" applyFont="1" applyFill="1" applyBorder="1" applyAlignment="1" applyProtection="1">
      <alignment horizontal="center" vertical="center" textRotation="90"/>
      <protection locked="0"/>
    </xf>
    <xf numFmtId="0" fontId="18" fillId="19" borderId="45" xfId="7" applyFont="1" applyFill="1" applyBorder="1" applyAlignment="1" applyProtection="1">
      <alignment horizontal="center" vertical="center" textRotation="90"/>
      <protection locked="0"/>
    </xf>
    <xf numFmtId="0" fontId="18" fillId="19" borderId="89" xfId="7" applyFont="1" applyFill="1" applyBorder="1" applyAlignment="1" applyProtection="1">
      <alignment horizontal="center" vertical="center" textRotation="90"/>
      <protection locked="0"/>
    </xf>
    <xf numFmtId="0" fontId="27" fillId="0" borderId="59" xfId="7" applyFont="1" applyBorder="1" applyAlignment="1" applyProtection="1">
      <alignment horizontal="justify" vertical="center"/>
      <protection locked="0"/>
    </xf>
    <xf numFmtId="0" fontId="27" fillId="0" borderId="50" xfId="7" applyFont="1" applyBorder="1" applyAlignment="1" applyProtection="1">
      <alignment horizontal="justify" vertical="center"/>
      <protection locked="0"/>
    </xf>
    <xf numFmtId="0" fontId="27" fillId="2" borderId="64" xfId="7" applyFont="1" applyFill="1" applyBorder="1" applyAlignment="1" applyProtection="1">
      <alignment horizontal="left"/>
      <protection locked="0"/>
    </xf>
    <xf numFmtId="0" fontId="27" fillId="2" borderId="35" xfId="7" applyFont="1" applyFill="1" applyBorder="1" applyAlignment="1" applyProtection="1">
      <alignment horizontal="left"/>
      <protection locked="0"/>
    </xf>
    <xf numFmtId="168" fontId="18" fillId="30" borderId="13" xfId="7" applyNumberFormat="1" applyFont="1" applyFill="1" applyBorder="1" applyAlignment="1" applyProtection="1">
      <alignment horizontal="center" vertical="center" textRotation="90" wrapText="1"/>
      <protection locked="0"/>
    </xf>
    <xf numFmtId="168" fontId="18" fillId="19" borderId="11" xfId="7" applyNumberFormat="1" applyFont="1" applyFill="1" applyBorder="1" applyAlignment="1" applyProtection="1">
      <alignment horizontal="center" vertical="center" textRotation="90" wrapText="1"/>
      <protection locked="0"/>
    </xf>
    <xf numFmtId="168" fontId="18" fillId="19" borderId="6" xfId="7" applyNumberFormat="1" applyFont="1" applyFill="1" applyBorder="1" applyAlignment="1" applyProtection="1">
      <alignment horizontal="center" vertical="center" textRotation="90" wrapText="1"/>
      <protection locked="0"/>
    </xf>
    <xf numFmtId="0" fontId="21" fillId="30" borderId="44" xfId="7" applyFont="1" applyFill="1" applyBorder="1" applyAlignment="1" applyProtection="1">
      <alignment horizontal="center"/>
      <protection locked="0"/>
    </xf>
    <xf numFmtId="0" fontId="21" fillId="19" borderId="45" xfId="7" applyFont="1" applyFill="1" applyBorder="1" applyAlignment="1" applyProtection="1">
      <alignment horizontal="center"/>
      <protection locked="0"/>
    </xf>
    <xf numFmtId="0" fontId="21" fillId="19" borderId="89" xfId="7" applyFont="1" applyFill="1" applyBorder="1" applyAlignment="1" applyProtection="1">
      <alignment horizontal="center"/>
      <protection locked="0"/>
    </xf>
    <xf numFmtId="0" fontId="18" fillId="30" borderId="58" xfId="7" applyFont="1" applyFill="1" applyBorder="1" applyAlignment="1" applyProtection="1">
      <alignment horizontal="center"/>
      <protection locked="0"/>
    </xf>
    <xf numFmtId="0" fontId="18" fillId="19" borderId="45" xfId="7" applyFont="1" applyFill="1" applyBorder="1" applyAlignment="1" applyProtection="1">
      <alignment horizontal="center"/>
      <protection locked="0"/>
    </xf>
    <xf numFmtId="164" fontId="27" fillId="28" borderId="18" xfId="5" applyNumberFormat="1" applyFont="1" applyFill="1" applyBorder="1" applyAlignment="1" applyProtection="1">
      <protection locked="0"/>
    </xf>
    <xf numFmtId="0" fontId="2" fillId="16" borderId="18" xfId="16" applyFont="1" applyFill="1" applyBorder="1" applyProtection="1">
      <protection locked="0"/>
    </xf>
    <xf numFmtId="0" fontId="27" fillId="28" borderId="64" xfId="7" applyFont="1" applyFill="1" applyBorder="1" applyAlignment="1" applyProtection="1">
      <alignment horizontal="left"/>
      <protection locked="0"/>
    </xf>
    <xf numFmtId="0" fontId="27" fillId="16" borderId="35" xfId="7" applyFont="1" applyFill="1" applyBorder="1" applyAlignment="1" applyProtection="1">
      <alignment horizontal="left"/>
      <protection locked="0"/>
    </xf>
    <xf numFmtId="168" fontId="18" fillId="30" borderId="71" xfId="7" applyNumberFormat="1" applyFont="1" applyFill="1" applyBorder="1" applyAlignment="1" applyProtection="1">
      <alignment horizontal="center" vertical="center" textRotation="90" wrapText="1"/>
      <protection locked="0"/>
    </xf>
    <xf numFmtId="168" fontId="18" fillId="19" borderId="74" xfId="7" applyNumberFormat="1" applyFont="1" applyFill="1" applyBorder="1" applyAlignment="1" applyProtection="1">
      <alignment horizontal="center" vertical="center" textRotation="90" wrapText="1"/>
      <protection locked="0"/>
    </xf>
    <xf numFmtId="168" fontId="18" fillId="19" borderId="98" xfId="7" applyNumberFormat="1" applyFont="1" applyFill="1" applyBorder="1" applyAlignment="1" applyProtection="1">
      <alignment horizontal="center" vertical="center" textRotation="90" wrapText="1"/>
      <protection locked="0"/>
    </xf>
    <xf numFmtId="168" fontId="18" fillId="30" borderId="60" xfId="7" applyNumberFormat="1" applyFont="1" applyFill="1" applyBorder="1" applyAlignment="1" applyProtection="1">
      <alignment horizontal="center" textRotation="90" wrapText="1"/>
      <protection locked="0"/>
    </xf>
    <xf numFmtId="168" fontId="18" fillId="19" borderId="64" xfId="7" applyNumberFormat="1" applyFont="1" applyFill="1" applyBorder="1" applyAlignment="1" applyProtection="1">
      <alignment horizontal="center" textRotation="90" wrapText="1"/>
      <protection locked="0"/>
    </xf>
    <xf numFmtId="168" fontId="18" fillId="30" borderId="60" xfId="7" applyNumberFormat="1" applyFont="1" applyFill="1" applyBorder="1" applyAlignment="1" applyProtection="1">
      <alignment horizontal="center"/>
      <protection locked="0"/>
    </xf>
    <xf numFmtId="168" fontId="18" fillId="19" borderId="18" xfId="7" applyNumberFormat="1" applyFont="1" applyFill="1" applyBorder="1" applyAlignment="1" applyProtection="1">
      <alignment horizontal="center"/>
      <protection locked="0"/>
    </xf>
    <xf numFmtId="168" fontId="18" fillId="19" borderId="64" xfId="7" applyNumberFormat="1" applyFont="1" applyFill="1" applyBorder="1" applyAlignment="1" applyProtection="1">
      <alignment horizontal="center"/>
      <protection locked="0"/>
    </xf>
    <xf numFmtId="0" fontId="18" fillId="30" borderId="60" xfId="7" applyFont="1" applyFill="1" applyBorder="1" applyAlignment="1" applyProtection="1">
      <alignment horizontal="justify" wrapText="1"/>
      <protection locked="0"/>
    </xf>
    <xf numFmtId="0" fontId="18" fillId="19" borderId="1" xfId="7" applyFont="1" applyFill="1" applyBorder="1" applyAlignment="1" applyProtection="1">
      <alignment horizontal="justify" wrapText="1"/>
      <protection locked="0"/>
    </xf>
    <xf numFmtId="0" fontId="27" fillId="0" borderId="46" xfId="7" applyFont="1" applyBorder="1" applyAlignment="1" applyProtection="1">
      <alignment horizontal="center" vertical="center"/>
      <protection locked="0"/>
    </xf>
    <xf numFmtId="0" fontId="27" fillId="0" borderId="47" xfId="7" applyFont="1" applyBorder="1" applyAlignment="1" applyProtection="1">
      <alignment horizontal="center" vertical="center"/>
      <protection locked="0"/>
    </xf>
    <xf numFmtId="0" fontId="27" fillId="2" borderId="107" xfId="7" applyFont="1" applyFill="1" applyBorder="1" applyAlignment="1" applyProtection="1">
      <alignment horizontal="left"/>
      <protection locked="0"/>
    </xf>
    <xf numFmtId="0" fontId="27" fillId="2" borderId="41" xfId="7" applyFont="1" applyFill="1" applyBorder="1" applyAlignment="1" applyProtection="1">
      <alignment horizontal="left"/>
      <protection locked="0"/>
    </xf>
    <xf numFmtId="0" fontId="27" fillId="0" borderId="48" xfId="7" applyFont="1" applyBorder="1" applyAlignment="1" applyProtection="1">
      <alignment horizontal="justify" vertical="center" wrapText="1"/>
      <protection locked="0"/>
    </xf>
    <xf numFmtId="0" fontId="2" fillId="0" borderId="54" xfId="16" applyFont="1" applyBorder="1" applyAlignment="1" applyProtection="1">
      <alignment horizontal="justify" vertical="center" wrapText="1"/>
      <protection locked="0"/>
    </xf>
    <xf numFmtId="0" fontId="27" fillId="2" borderId="18" xfId="7" applyFont="1" applyFill="1" applyBorder="1" applyAlignment="1" applyProtection="1">
      <alignment horizontal="left"/>
      <protection locked="0"/>
    </xf>
    <xf numFmtId="0" fontId="27" fillId="2" borderId="1" xfId="7" applyFont="1" applyFill="1" applyBorder="1" applyAlignment="1" applyProtection="1">
      <alignment horizontal="left"/>
      <protection locked="0"/>
    </xf>
    <xf numFmtId="0" fontId="19" fillId="5" borderId="15" xfId="7" applyFont="1" applyFill="1" applyBorder="1" applyAlignment="1" applyProtection="1">
      <alignment horizontal="left" vertical="center" wrapText="1"/>
      <protection locked="0"/>
    </xf>
    <xf numFmtId="0" fontId="19" fillId="5" borderId="14" xfId="7" applyFont="1" applyFill="1" applyBorder="1" applyAlignment="1" applyProtection="1">
      <alignment horizontal="left" vertical="center" wrapText="1"/>
      <protection locked="0"/>
    </xf>
    <xf numFmtId="0" fontId="19" fillId="5" borderId="5" xfId="7" applyFont="1" applyFill="1" applyBorder="1" applyAlignment="1" applyProtection="1">
      <alignment horizontal="left" vertical="center" wrapText="1"/>
      <protection locked="0"/>
    </xf>
    <xf numFmtId="0" fontId="19" fillId="5" borderId="12" xfId="7" applyFont="1" applyFill="1" applyBorder="1" applyAlignment="1" applyProtection="1">
      <alignment horizontal="left" vertical="center" wrapText="1"/>
      <protection locked="0"/>
    </xf>
    <xf numFmtId="0" fontId="19" fillId="5" borderId="9" xfId="7" applyFont="1" applyFill="1" applyBorder="1" applyAlignment="1" applyProtection="1">
      <alignment horizontal="left" vertical="center" wrapText="1"/>
      <protection locked="0"/>
    </xf>
    <xf numFmtId="0" fontId="19" fillId="5" borderId="8" xfId="7" applyFont="1" applyFill="1" applyBorder="1" applyAlignment="1" applyProtection="1">
      <alignment horizontal="left" vertical="center" wrapText="1"/>
      <protection locked="0"/>
    </xf>
    <xf numFmtId="0" fontId="27" fillId="28" borderId="18" xfId="7" applyFont="1" applyFill="1" applyBorder="1" applyAlignment="1" applyProtection="1">
      <alignment horizontal="left"/>
      <protection locked="0"/>
    </xf>
    <xf numFmtId="0" fontId="27" fillId="16" borderId="1" xfId="7" applyFont="1" applyFill="1" applyBorder="1" applyAlignment="1" applyProtection="1">
      <alignment horizontal="left"/>
      <protection locked="0"/>
    </xf>
    <xf numFmtId="0" fontId="39" fillId="0" borderId="0" xfId="7" applyFont="1" applyAlignment="1" applyProtection="1">
      <alignment horizontal="left" vertical="top" wrapText="1"/>
      <protection locked="0"/>
    </xf>
    <xf numFmtId="0" fontId="27" fillId="0" borderId="12" xfId="7" applyFont="1" applyBorder="1" applyAlignment="1" applyProtection="1">
      <alignment horizontal="left" vertical="top" wrapText="1"/>
      <protection locked="0"/>
    </xf>
    <xf numFmtId="0" fontId="2" fillId="16" borderId="1" xfId="16" applyFont="1" applyFill="1" applyBorder="1" applyProtection="1">
      <protection locked="0"/>
    </xf>
    <xf numFmtId="0" fontId="27" fillId="0" borderId="7" xfId="7" applyFont="1" applyBorder="1" applyAlignment="1" applyProtection="1">
      <alignment horizontal="justify" vertical="center" wrapText="1"/>
      <protection locked="0"/>
    </xf>
    <xf numFmtId="0" fontId="27" fillId="0" borderId="8" xfId="7" applyFont="1" applyBorder="1" applyAlignment="1" applyProtection="1">
      <alignment horizontal="justify" vertical="center" wrapText="1"/>
      <protection locked="0"/>
    </xf>
    <xf numFmtId="168" fontId="18" fillId="30" borderId="100" xfId="7" applyNumberFormat="1" applyFont="1" applyFill="1" applyBorder="1" applyAlignment="1" applyProtection="1">
      <alignment horizontal="center" wrapText="1"/>
      <protection locked="0"/>
    </xf>
    <xf numFmtId="168" fontId="18" fillId="19" borderId="4" xfId="7" applyNumberFormat="1" applyFont="1" applyFill="1" applyBorder="1" applyAlignment="1" applyProtection="1">
      <alignment horizontal="center" wrapText="1"/>
      <protection locked="0"/>
    </xf>
    <xf numFmtId="168" fontId="18" fillId="19" borderId="107" xfId="7" applyNumberFormat="1" applyFont="1" applyFill="1" applyBorder="1" applyAlignment="1" applyProtection="1">
      <alignment horizontal="center" wrapText="1"/>
      <protection locked="0"/>
    </xf>
    <xf numFmtId="168" fontId="21" fillId="30" borderId="100" xfId="7" applyNumberFormat="1" applyFont="1" applyFill="1" applyBorder="1" applyAlignment="1" applyProtection="1">
      <alignment horizontal="center"/>
      <protection locked="0"/>
    </xf>
    <xf numFmtId="168" fontId="21" fillId="19" borderId="4" xfId="7" applyNumberFormat="1" applyFont="1" applyFill="1" applyBorder="1" applyAlignment="1" applyProtection="1">
      <alignment horizontal="center"/>
      <protection locked="0"/>
    </xf>
    <xf numFmtId="168" fontId="21" fillId="19" borderId="45" xfId="7" applyNumberFormat="1" applyFont="1" applyFill="1" applyBorder="1" applyAlignment="1" applyProtection="1">
      <alignment horizontal="center"/>
      <protection locked="0"/>
    </xf>
    <xf numFmtId="168" fontId="21" fillId="19" borderId="14" xfId="7" applyNumberFormat="1" applyFont="1" applyFill="1" applyBorder="1" applyAlignment="1" applyProtection="1">
      <alignment horizontal="center"/>
      <protection locked="0"/>
    </xf>
    <xf numFmtId="0" fontId="27" fillId="0" borderId="57" xfId="7" applyFont="1" applyBorder="1" applyAlignment="1" applyProtection="1">
      <alignment horizontal="left"/>
      <protection locked="0"/>
    </xf>
    <xf numFmtId="0" fontId="27" fillId="0" borderId="72" xfId="7" applyFont="1" applyBorder="1" applyAlignment="1" applyProtection="1">
      <alignment horizontal="left"/>
      <protection locked="0"/>
    </xf>
    <xf numFmtId="0" fontId="27" fillId="0" borderId="38" xfId="7" applyFont="1" applyBorder="1" applyAlignment="1" applyProtection="1">
      <alignment horizontal="left"/>
      <protection locked="0"/>
    </xf>
    <xf numFmtId="0" fontId="27" fillId="0" borderId="67" xfId="7" applyFont="1" applyBorder="1" applyAlignment="1" applyProtection="1">
      <alignment horizontal="left"/>
      <protection locked="0"/>
    </xf>
    <xf numFmtId="0" fontId="27" fillId="0" borderId="59" xfId="7" applyFont="1" applyBorder="1" applyAlignment="1" applyProtection="1">
      <alignment horizontal="left"/>
      <protection locked="0"/>
    </xf>
    <xf numFmtId="0" fontId="27" fillId="0" borderId="50" xfId="7" applyFont="1" applyBorder="1" applyAlignment="1" applyProtection="1">
      <alignment horizontal="left"/>
      <protection locked="0"/>
    </xf>
    <xf numFmtId="168" fontId="18" fillId="30" borderId="37" xfId="7" applyNumberFormat="1" applyFont="1" applyFill="1" applyBorder="1" applyAlignment="1" applyProtection="1">
      <alignment horizontal="center" vertical="center" wrapText="1"/>
      <protection locked="0"/>
    </xf>
    <xf numFmtId="168" fontId="18" fillId="19" borderId="37" xfId="7" applyNumberFormat="1" applyFont="1" applyFill="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27" fillId="0" borderId="34" xfId="7" applyFont="1" applyBorder="1" applyAlignment="1" applyProtection="1">
      <alignment horizontal="center" wrapText="1"/>
      <protection locked="0"/>
    </xf>
    <xf numFmtId="0" fontId="27" fillId="0" borderId="19" xfId="7" applyFont="1" applyBorder="1" applyAlignment="1" applyProtection="1">
      <alignment horizontal="center" wrapText="1"/>
      <protection locked="0"/>
    </xf>
    <xf numFmtId="0" fontId="27" fillId="0" borderId="0" xfId="7" applyFont="1" applyAlignment="1" applyProtection="1">
      <alignment horizontal="left" vertical="center" wrapText="1"/>
      <protection locked="0"/>
    </xf>
    <xf numFmtId="0" fontId="27" fillId="0" borderId="12" xfId="7" applyFont="1" applyBorder="1" applyAlignment="1" applyProtection="1">
      <alignment horizontal="left" vertical="center" wrapText="1"/>
      <protection locked="0"/>
    </xf>
    <xf numFmtId="164" fontId="27" fillId="28" borderId="18" xfId="5" applyNumberFormat="1" applyFont="1" applyFill="1" applyBorder="1" applyAlignment="1" applyProtection="1">
      <alignment horizontal="center"/>
      <protection locked="0"/>
    </xf>
    <xf numFmtId="164" fontId="27" fillId="16" borderId="18" xfId="5" applyNumberFormat="1" applyFont="1" applyFill="1" applyBorder="1" applyAlignment="1" applyProtection="1">
      <alignment horizontal="center"/>
      <protection locked="0"/>
    </xf>
    <xf numFmtId="168" fontId="18" fillId="30" borderId="11" xfId="7" applyNumberFormat="1" applyFont="1" applyFill="1" applyBorder="1" applyAlignment="1" applyProtection="1">
      <alignment horizontal="center" vertical="center" textRotation="90" wrapText="1"/>
      <protection locked="0"/>
    </xf>
    <xf numFmtId="0" fontId="27" fillId="0" borderId="27" xfId="7" applyFont="1" applyBorder="1" applyAlignment="1" applyProtection="1">
      <alignment horizontal="center" vertical="center" wrapText="1"/>
      <protection locked="0"/>
    </xf>
    <xf numFmtId="0" fontId="27" fillId="0" borderId="33" xfId="7" applyFont="1" applyBorder="1" applyAlignment="1" applyProtection="1">
      <alignment horizontal="center"/>
      <protection locked="0"/>
    </xf>
    <xf numFmtId="0" fontId="27" fillId="0" borderId="28" xfId="7" applyFont="1" applyBorder="1" applyAlignment="1" applyProtection="1">
      <alignment horizontal="center"/>
      <protection locked="0"/>
    </xf>
    <xf numFmtId="0" fontId="27" fillId="0" borderId="29" xfId="7" applyFont="1" applyBorder="1" applyAlignment="1" applyProtection="1">
      <alignment horizontal="center" wrapText="1"/>
      <protection locked="0"/>
    </xf>
    <xf numFmtId="0" fontId="27" fillId="0" borderId="25" xfId="7" applyFont="1" applyBorder="1" applyAlignment="1" applyProtection="1">
      <alignment horizontal="center" wrapText="1"/>
      <protection locked="0"/>
    </xf>
    <xf numFmtId="0" fontId="18" fillId="30" borderId="2" xfId="7" applyFont="1" applyFill="1" applyBorder="1" applyAlignment="1" applyProtection="1">
      <alignment horizontal="left"/>
      <protection locked="0"/>
    </xf>
    <xf numFmtId="0" fontId="18" fillId="19" borderId="18" xfId="7" applyFont="1" applyFill="1" applyBorder="1" applyAlignment="1" applyProtection="1">
      <alignment horizontal="left"/>
      <protection locked="0"/>
    </xf>
    <xf numFmtId="0" fontId="18" fillId="19" borderId="1" xfId="7" applyFont="1" applyFill="1" applyBorder="1" applyAlignment="1" applyProtection="1">
      <alignment horizontal="left"/>
      <protection locked="0"/>
    </xf>
    <xf numFmtId="0" fontId="27" fillId="0" borderId="0" xfId="7" applyFont="1" applyAlignment="1" applyProtection="1">
      <alignment horizontal="left" vertical="top" wrapText="1"/>
      <protection locked="0"/>
    </xf>
    <xf numFmtId="0" fontId="28" fillId="0" borderId="5"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8" fillId="0" borderId="12" xfId="7" applyFont="1" applyBorder="1" applyAlignment="1" applyProtection="1">
      <alignment horizontal="left" vertical="top" wrapText="1"/>
      <protection locked="0"/>
    </xf>
    <xf numFmtId="168" fontId="18" fillId="30" borderId="65" xfId="7" applyNumberFormat="1" applyFont="1" applyFill="1" applyBorder="1" applyAlignment="1" applyProtection="1">
      <alignment horizontal="center" vertical="center" textRotation="90" wrapText="1"/>
      <protection locked="0"/>
    </xf>
    <xf numFmtId="168" fontId="18" fillId="19" borderId="5" xfId="7" applyNumberFormat="1" applyFont="1" applyFill="1" applyBorder="1" applyAlignment="1" applyProtection="1">
      <alignment horizontal="center" vertical="center" textRotation="90" wrapText="1"/>
      <protection locked="0"/>
    </xf>
    <xf numFmtId="168" fontId="18" fillId="19" borderId="37" xfId="7" applyNumberFormat="1" applyFont="1" applyFill="1" applyBorder="1" applyAlignment="1" applyProtection="1">
      <alignment horizontal="center" vertical="center" textRotation="90" wrapText="1"/>
      <protection locked="0"/>
    </xf>
    <xf numFmtId="168" fontId="18" fillId="30" borderId="19" xfId="7" applyNumberFormat="1" applyFont="1" applyFill="1" applyBorder="1" applyAlignment="1" applyProtection="1">
      <alignment horizontal="center" wrapText="1"/>
      <protection locked="0"/>
    </xf>
    <xf numFmtId="168" fontId="18" fillId="19" borderId="0" xfId="7" applyNumberFormat="1" applyFont="1" applyFill="1" applyAlignment="1" applyProtection="1">
      <alignment horizontal="center" wrapText="1"/>
      <protection locked="0"/>
    </xf>
    <xf numFmtId="168" fontId="18" fillId="19" borderId="27" xfId="7" applyNumberFormat="1" applyFont="1" applyFill="1" applyBorder="1" applyAlignment="1" applyProtection="1">
      <alignment horizontal="center" wrapText="1"/>
      <protection locked="0"/>
    </xf>
    <xf numFmtId="168" fontId="21" fillId="30" borderId="19" xfId="7" applyNumberFormat="1" applyFont="1" applyFill="1" applyBorder="1" applyAlignment="1" applyProtection="1">
      <alignment horizontal="center"/>
      <protection locked="0"/>
    </xf>
    <xf numFmtId="168" fontId="21" fillId="19" borderId="0" xfId="7" applyNumberFormat="1" applyFont="1" applyFill="1" applyAlignment="1" applyProtection="1">
      <alignment horizontal="center"/>
      <protection locked="0"/>
    </xf>
    <xf numFmtId="168" fontId="21" fillId="19" borderId="16" xfId="7" applyNumberFormat="1" applyFont="1" applyFill="1" applyBorder="1" applyAlignment="1" applyProtection="1">
      <alignment horizontal="center"/>
      <protection locked="0"/>
    </xf>
    <xf numFmtId="168" fontId="21" fillId="19" borderId="12" xfId="7" applyNumberFormat="1" applyFont="1" applyFill="1" applyBorder="1" applyAlignment="1" applyProtection="1">
      <alignment horizontal="center"/>
      <protection locked="0"/>
    </xf>
    <xf numFmtId="0" fontId="27" fillId="0" borderId="43" xfId="7" applyFont="1" applyBorder="1" applyAlignment="1" applyProtection="1">
      <alignment horizontal="center"/>
      <protection locked="0"/>
    </xf>
    <xf numFmtId="0" fontId="27" fillId="0" borderId="20" xfId="7" applyFont="1" applyBorder="1" applyAlignment="1" applyProtection="1">
      <alignment horizontal="center"/>
      <protection locked="0"/>
    </xf>
    <xf numFmtId="0" fontId="27" fillId="0" borderId="42" xfId="7" applyFont="1" applyBorder="1" applyAlignment="1" applyProtection="1">
      <alignment horizontal="center"/>
      <protection locked="0"/>
    </xf>
    <xf numFmtId="0" fontId="27" fillId="0" borderId="30" xfId="7" applyFont="1" applyBorder="1" applyAlignment="1" applyProtection="1">
      <alignment horizontal="left"/>
      <protection locked="0"/>
    </xf>
    <xf numFmtId="0" fontId="27" fillId="0" borderId="108" xfId="7" applyFont="1" applyBorder="1" applyAlignment="1" applyProtection="1">
      <alignment horizontal="left"/>
      <protection locked="0"/>
    </xf>
    <xf numFmtId="0" fontId="27" fillId="0" borderId="46" xfId="7" applyFont="1" applyBorder="1" applyAlignment="1" applyProtection="1">
      <alignment horizontal="center"/>
      <protection locked="0"/>
    </xf>
    <xf numFmtId="0" fontId="27" fillId="0" borderId="16" xfId="7" applyFont="1" applyBorder="1" applyAlignment="1" applyProtection="1">
      <alignment horizontal="center"/>
      <protection locked="0"/>
    </xf>
    <xf numFmtId="0" fontId="27" fillId="0" borderId="47" xfId="7" applyFont="1" applyBorder="1" applyAlignment="1" applyProtection="1">
      <alignment horizontal="center"/>
      <protection locked="0"/>
    </xf>
    <xf numFmtId="0" fontId="27" fillId="0" borderId="32" xfId="7" applyFont="1" applyBorder="1" applyAlignment="1" applyProtection="1">
      <alignment horizontal="left"/>
      <protection locked="0"/>
    </xf>
    <xf numFmtId="0" fontId="39" fillId="0" borderId="0" xfId="16" applyFont="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0" xfId="16" applyFont="1" applyAlignment="1" applyProtection="1">
      <alignment horizontal="left" wrapText="1"/>
      <protection locked="0"/>
    </xf>
    <xf numFmtId="0" fontId="27" fillId="0" borderId="0" xfId="16" applyFont="1" applyAlignment="1" applyProtection="1">
      <alignment horizontal="justify" vertical="top" wrapText="1"/>
      <protection locked="0"/>
    </xf>
    <xf numFmtId="0" fontId="2" fillId="0" borderId="0" xfId="16" applyFont="1" applyAlignment="1" applyProtection="1">
      <alignment horizontal="justify" vertical="top" wrapText="1"/>
      <protection locked="0"/>
    </xf>
    <xf numFmtId="0" fontId="2" fillId="0" borderId="0" xfId="16" applyFont="1" applyAlignment="1" applyProtection="1">
      <alignment wrapText="1"/>
      <protection locked="0"/>
    </xf>
    <xf numFmtId="0" fontId="27" fillId="0" borderId="2" xfId="7" applyFont="1" applyBorder="1" applyAlignment="1" applyProtection="1">
      <alignment horizontal="left" vertical="top" wrapText="1"/>
      <protection locked="0"/>
    </xf>
    <xf numFmtId="0" fontId="27" fillId="0" borderId="18" xfId="7" applyFont="1" applyBorder="1" applyAlignment="1" applyProtection="1">
      <alignment horizontal="left" vertical="top" wrapText="1"/>
      <protection locked="0"/>
    </xf>
    <xf numFmtId="0" fontId="27" fillId="0" borderId="1" xfId="7" applyFont="1" applyBorder="1" applyAlignment="1" applyProtection="1">
      <alignment horizontal="left" vertical="top" wrapText="1"/>
      <protection locked="0"/>
    </xf>
    <xf numFmtId="0" fontId="27" fillId="0" borderId="48" xfId="7" applyFont="1" applyBorder="1" applyAlignment="1" applyProtection="1">
      <alignment horizontal="center"/>
      <protection locked="0"/>
    </xf>
    <xf numFmtId="0" fontId="27" fillId="0" borderId="49" xfId="7" applyFont="1" applyBorder="1" applyAlignment="1" applyProtection="1">
      <alignment horizontal="center"/>
      <protection locked="0"/>
    </xf>
    <xf numFmtId="0" fontId="27" fillId="0" borderId="54" xfId="7" applyFont="1" applyBorder="1" applyAlignment="1" applyProtection="1">
      <alignment horizontal="center"/>
      <protection locked="0"/>
    </xf>
    <xf numFmtId="0" fontId="27" fillId="0" borderId="26" xfId="7" applyFont="1" applyBorder="1" applyAlignment="1" applyProtection="1">
      <alignment horizontal="left"/>
      <protection locked="0"/>
    </xf>
    <xf numFmtId="0" fontId="27" fillId="0" borderId="66" xfId="7" applyFont="1" applyBorder="1" applyAlignment="1" applyProtection="1">
      <alignment horizontal="left"/>
      <protection locked="0"/>
    </xf>
    <xf numFmtId="168" fontId="27" fillId="0" borderId="19" xfId="7" applyNumberFormat="1" applyFont="1" applyBorder="1" applyAlignment="1" applyProtection="1">
      <alignment horizontal="left" wrapText="1"/>
      <protection locked="0"/>
    </xf>
    <xf numFmtId="168" fontId="27" fillId="0" borderId="0" xfId="7" applyNumberFormat="1" applyFont="1" applyAlignment="1" applyProtection="1">
      <alignment horizontal="left" wrapText="1"/>
      <protection locked="0"/>
    </xf>
    <xf numFmtId="168" fontId="18" fillId="30" borderId="20" xfId="7" applyNumberFormat="1" applyFont="1" applyFill="1" applyBorder="1" applyAlignment="1" applyProtection="1">
      <alignment horizontal="center" textRotation="90" wrapText="1"/>
      <protection locked="0"/>
    </xf>
    <xf numFmtId="168" fontId="18" fillId="19" borderId="20" xfId="7" applyNumberFormat="1" applyFont="1" applyFill="1" applyBorder="1" applyAlignment="1" applyProtection="1">
      <alignment horizontal="center" textRotation="90" wrapText="1"/>
      <protection locked="0"/>
    </xf>
    <xf numFmtId="168" fontId="18" fillId="19" borderId="30" xfId="7" applyNumberFormat="1" applyFont="1" applyFill="1" applyBorder="1" applyAlignment="1" applyProtection="1">
      <alignment horizontal="center" textRotation="90" wrapText="1"/>
      <protection locked="0"/>
    </xf>
    <xf numFmtId="168" fontId="18" fillId="30" borderId="29" xfId="7" applyNumberFormat="1" applyFont="1" applyFill="1" applyBorder="1" applyAlignment="1" applyProtection="1">
      <alignment horizontal="left"/>
      <protection locked="0"/>
    </xf>
    <xf numFmtId="0" fontId="21" fillId="19" borderId="20" xfId="16" applyFont="1" applyFill="1" applyBorder="1" applyProtection="1">
      <protection locked="0"/>
    </xf>
    <xf numFmtId="0" fontId="21" fillId="19" borderId="0" xfId="16" applyFont="1" applyFill="1" applyProtection="1">
      <protection locked="0"/>
    </xf>
    <xf numFmtId="0" fontId="27" fillId="0" borderId="57" xfId="7" applyFont="1" applyBorder="1" applyAlignment="1" applyProtection="1">
      <alignment horizontal="justify" vertical="center"/>
      <protection locked="0"/>
    </xf>
    <xf numFmtId="0" fontId="27" fillId="0" borderId="72" xfId="7" applyFont="1" applyBorder="1" applyAlignment="1" applyProtection="1">
      <alignment horizontal="justify" vertical="center"/>
      <protection locked="0"/>
    </xf>
    <xf numFmtId="0" fontId="18" fillId="30" borderId="0" xfId="7" applyFont="1" applyFill="1" applyAlignment="1" applyProtection="1">
      <alignment horizontal="center" vertical="center" textRotation="90" wrapText="1"/>
      <protection locked="0"/>
    </xf>
    <xf numFmtId="0" fontId="18" fillId="19" borderId="0" xfId="7" applyFont="1" applyFill="1" applyAlignment="1" applyProtection="1">
      <alignment horizontal="center" vertical="center" textRotation="90" wrapText="1"/>
      <protection locked="0"/>
    </xf>
    <xf numFmtId="0" fontId="18" fillId="19" borderId="27" xfId="7" applyFont="1" applyFill="1" applyBorder="1" applyAlignment="1" applyProtection="1">
      <alignment horizontal="center" vertical="center" textRotation="90" wrapText="1"/>
      <protection locked="0"/>
    </xf>
    <xf numFmtId="0" fontId="18" fillId="30" borderId="19" xfId="7" applyFont="1" applyFill="1" applyBorder="1" applyAlignment="1" applyProtection="1">
      <alignment horizontal="center"/>
      <protection locked="0"/>
    </xf>
    <xf numFmtId="0" fontId="18" fillId="19" borderId="0" xfId="7" applyFont="1" applyFill="1" applyAlignment="1" applyProtection="1">
      <alignment horizontal="center"/>
      <protection locked="0"/>
    </xf>
    <xf numFmtId="0" fontId="18" fillId="19" borderId="12" xfId="7" applyFont="1" applyFill="1" applyBorder="1" applyAlignment="1" applyProtection="1">
      <alignment horizontal="center"/>
      <protection locked="0"/>
    </xf>
    <xf numFmtId="0" fontId="27" fillId="28" borderId="5" xfId="7" applyFont="1" applyFill="1" applyBorder="1" applyAlignment="1" applyProtection="1">
      <alignment horizontal="center"/>
      <protection locked="0"/>
    </xf>
    <xf numFmtId="0" fontId="27" fillId="16" borderId="0" xfId="7" applyFont="1" applyFill="1" applyAlignment="1" applyProtection="1">
      <alignment horizontal="center"/>
      <protection locked="0"/>
    </xf>
    <xf numFmtId="0" fontId="27" fillId="16" borderId="12" xfId="7" applyFont="1" applyFill="1" applyBorder="1" applyAlignment="1" applyProtection="1">
      <alignment horizontal="center"/>
      <protection locked="0"/>
    </xf>
    <xf numFmtId="168" fontId="18" fillId="19" borderId="76" xfId="7" applyNumberFormat="1" applyFont="1" applyFill="1" applyBorder="1" applyAlignment="1" applyProtection="1">
      <alignment horizontal="center" vertical="center" textRotation="90" wrapText="1"/>
      <protection locked="0"/>
    </xf>
    <xf numFmtId="168" fontId="18" fillId="30" borderId="44" xfId="7" applyNumberFormat="1" applyFont="1" applyFill="1" applyBorder="1" applyAlignment="1" applyProtection="1">
      <alignment horizontal="center" vertical="center" textRotation="90" wrapText="1"/>
      <protection locked="0"/>
    </xf>
    <xf numFmtId="168" fontId="18" fillId="19" borderId="45" xfId="7" applyNumberFormat="1" applyFont="1" applyFill="1" applyBorder="1" applyAlignment="1" applyProtection="1">
      <alignment horizontal="center" vertical="center" textRotation="90" wrapText="1"/>
      <protection locked="0"/>
    </xf>
    <xf numFmtId="168" fontId="18" fillId="19" borderId="89" xfId="7" applyNumberFormat="1" applyFont="1" applyFill="1" applyBorder="1" applyAlignment="1" applyProtection="1">
      <alignment horizontal="center" vertical="center" textRotation="90" wrapText="1"/>
      <protection locked="0"/>
    </xf>
    <xf numFmtId="168" fontId="18" fillId="30" borderId="58" xfId="7" applyNumberFormat="1" applyFont="1" applyFill="1" applyBorder="1" applyAlignment="1" applyProtection="1">
      <alignment horizontal="center"/>
      <protection locked="0"/>
    </xf>
    <xf numFmtId="168" fontId="18" fillId="19" borderId="45" xfId="7" applyNumberFormat="1" applyFont="1" applyFill="1" applyBorder="1" applyAlignment="1" applyProtection="1">
      <alignment horizontal="center"/>
      <protection locked="0"/>
    </xf>
    <xf numFmtId="168" fontId="18" fillId="19" borderId="51" xfId="7" applyNumberFormat="1" applyFont="1" applyFill="1" applyBorder="1" applyAlignment="1" applyProtection="1">
      <alignment horizontal="center"/>
      <protection locked="0"/>
    </xf>
    <xf numFmtId="0" fontId="27" fillId="0" borderId="48" xfId="7" applyFont="1" applyBorder="1" applyAlignment="1" applyProtection="1">
      <alignment horizontal="justify" vertical="center"/>
      <protection locked="0"/>
    </xf>
    <xf numFmtId="0" fontId="27" fillId="0" borderId="54" xfId="7" applyFont="1" applyBorder="1" applyAlignment="1" applyProtection="1">
      <alignment horizontal="justify" vertical="center"/>
      <protection locked="0"/>
    </xf>
    <xf numFmtId="0" fontId="27" fillId="2" borderId="64" xfId="7" applyFont="1" applyFill="1" applyBorder="1" applyAlignment="1" applyProtection="1">
      <alignment horizontal="justify" vertical="top"/>
      <protection locked="0"/>
    </xf>
    <xf numFmtId="0" fontId="27" fillId="2" borderId="35" xfId="7" applyFont="1" applyFill="1" applyBorder="1" applyAlignment="1" applyProtection="1">
      <alignment horizontal="justify" vertical="top"/>
      <protection locked="0"/>
    </xf>
    <xf numFmtId="168" fontId="18" fillId="30" borderId="43" xfId="7" applyNumberFormat="1" applyFont="1" applyFill="1" applyBorder="1" applyAlignment="1" applyProtection="1">
      <alignment horizontal="center" vertical="center" textRotation="90" wrapText="1"/>
      <protection locked="0"/>
    </xf>
    <xf numFmtId="168" fontId="18" fillId="19" borderId="20" xfId="7" applyNumberFormat="1" applyFont="1" applyFill="1" applyBorder="1" applyAlignment="1" applyProtection="1">
      <alignment horizontal="center" vertical="center" textRotation="90" wrapText="1"/>
      <protection locked="0"/>
    </xf>
    <xf numFmtId="168" fontId="18" fillId="19" borderId="30" xfId="7" applyNumberFormat="1" applyFont="1" applyFill="1" applyBorder="1" applyAlignment="1" applyProtection="1">
      <alignment horizontal="center" vertical="center" textRotation="90" wrapText="1"/>
      <protection locked="0"/>
    </xf>
    <xf numFmtId="168" fontId="18" fillId="30" borderId="29" xfId="7" applyNumberFormat="1" applyFont="1" applyFill="1" applyBorder="1" applyAlignment="1" applyProtection="1">
      <alignment horizontal="center"/>
      <protection locked="0"/>
    </xf>
    <xf numFmtId="168" fontId="18" fillId="19" borderId="20" xfId="7" applyNumberFormat="1" applyFont="1" applyFill="1" applyBorder="1" applyAlignment="1" applyProtection="1">
      <alignment horizontal="center"/>
      <protection locked="0"/>
    </xf>
    <xf numFmtId="168" fontId="18" fillId="19" borderId="0" xfId="7" applyNumberFormat="1" applyFont="1" applyFill="1" applyAlignment="1" applyProtection="1">
      <alignment horizontal="center"/>
      <protection locked="0"/>
    </xf>
    <xf numFmtId="168" fontId="18" fillId="19" borderId="12" xfId="7" applyNumberFormat="1" applyFont="1" applyFill="1" applyBorder="1" applyAlignment="1" applyProtection="1">
      <alignment horizontal="center"/>
      <protection locked="0"/>
    </xf>
    <xf numFmtId="0" fontId="27" fillId="0" borderId="0" xfId="0" applyFont="1" applyAlignment="1">
      <alignment horizontal="justify" vertical="top" wrapText="1"/>
    </xf>
    <xf numFmtId="0" fontId="18" fillId="28" borderId="15" xfId="0" applyFont="1" applyFill="1" applyBorder="1" applyAlignment="1" applyProtection="1">
      <alignment horizontal="center"/>
      <protection locked="0"/>
    </xf>
    <xf numFmtId="0" fontId="18" fillId="16" borderId="4" xfId="0" applyFont="1" applyFill="1" applyBorder="1" applyAlignment="1" applyProtection="1">
      <alignment horizontal="center"/>
      <protection locked="0"/>
    </xf>
    <xf numFmtId="0" fontId="18" fillId="16" borderId="14" xfId="0" applyFont="1" applyFill="1" applyBorder="1" applyAlignment="1" applyProtection="1">
      <alignment horizontal="center"/>
      <protection locked="0"/>
    </xf>
    <xf numFmtId="0" fontId="27" fillId="0" borderId="0" xfId="0" applyFont="1" applyAlignment="1">
      <alignment horizontal="justify" vertical="top"/>
    </xf>
    <xf numFmtId="0" fontId="19" fillId="0" borderId="0" xfId="0" applyFont="1" applyAlignment="1">
      <alignment horizontal="justify" vertical="top" wrapText="1"/>
    </xf>
    <xf numFmtId="14" fontId="18" fillId="28" borderId="9" xfId="0" applyNumberFormat="1" applyFont="1" applyFill="1" applyBorder="1" applyAlignment="1">
      <alignment horizontal="center"/>
    </xf>
    <xf numFmtId="14" fontId="18" fillId="16" borderId="7" xfId="0" applyNumberFormat="1" applyFont="1" applyFill="1" applyBorder="1" applyAlignment="1">
      <alignment horizontal="center"/>
    </xf>
    <xf numFmtId="14" fontId="18" fillId="28" borderId="21" xfId="0" applyNumberFormat="1" applyFont="1" applyFill="1" applyBorder="1" applyAlignment="1">
      <alignment horizontal="center"/>
    </xf>
    <xf numFmtId="0" fontId="18" fillId="27" borderId="9" xfId="0" applyFont="1" applyFill="1" applyBorder="1" applyAlignment="1">
      <alignment horizontal="center"/>
    </xf>
    <xf numFmtId="0" fontId="18" fillId="28" borderId="100" xfId="0" applyFont="1" applyFill="1" applyBorder="1" applyAlignment="1">
      <alignment horizontal="center"/>
    </xf>
    <xf numFmtId="0" fontId="18" fillId="27" borderId="15" xfId="0" applyFont="1" applyFill="1" applyBorder="1" applyAlignment="1">
      <alignment horizontal="center"/>
    </xf>
    <xf numFmtId="0" fontId="18" fillId="27" borderId="14" xfId="0" applyFont="1" applyFill="1" applyBorder="1" applyAlignment="1">
      <alignment horizontal="center"/>
    </xf>
    <xf numFmtId="38" fontId="19" fillId="0" borderId="58" xfId="41" applyNumberFormat="1" applyFont="1" applyFill="1" applyBorder="1" applyAlignment="1">
      <alignment horizontal="right"/>
    </xf>
    <xf numFmtId="38" fontId="19" fillId="0" borderId="45" xfId="41" applyNumberFormat="1" applyFont="1" applyFill="1" applyBorder="1" applyAlignment="1">
      <alignment horizontal="right"/>
    </xf>
    <xf numFmtId="174" fontId="28" fillId="21" borderId="44" xfId="11" applyNumberFormat="1" applyFont="1" applyFill="1" applyBorder="1" applyAlignment="1">
      <alignment horizontal="center"/>
    </xf>
    <xf numFmtId="174" fontId="28" fillId="21" borderId="123" xfId="11" applyNumberFormat="1" applyFont="1" applyFill="1" applyBorder="1" applyAlignment="1">
      <alignment horizontal="center"/>
    </xf>
    <xf numFmtId="38" fontId="19" fillId="0" borderId="5" xfId="41" applyNumberFormat="1" applyFont="1" applyFill="1" applyBorder="1" applyAlignment="1">
      <alignment horizontal="right"/>
    </xf>
    <xf numFmtId="38" fontId="19" fillId="0" borderId="0" xfId="41" applyNumberFormat="1" applyFont="1" applyFill="1" applyBorder="1" applyAlignment="1">
      <alignment horizontal="right"/>
    </xf>
    <xf numFmtId="38" fontId="19" fillId="0" borderId="19" xfId="41" applyNumberFormat="1" applyFont="1" applyFill="1" applyBorder="1" applyAlignment="1">
      <alignment horizontal="right"/>
    </xf>
    <xf numFmtId="174" fontId="28" fillId="21" borderId="38" xfId="11" applyNumberFormat="1" applyFont="1" applyFill="1" applyBorder="1" applyAlignment="1">
      <alignment horizontal="center"/>
    </xf>
    <xf numFmtId="174" fontId="28" fillId="21" borderId="67" xfId="11" applyNumberFormat="1" applyFont="1" applyFill="1" applyBorder="1" applyAlignment="1">
      <alignment horizontal="center"/>
    </xf>
    <xf numFmtId="38" fontId="19" fillId="0" borderId="46" xfId="41" applyNumberFormat="1" applyFont="1" applyFill="1" applyBorder="1" applyAlignment="1">
      <alignment horizontal="right"/>
    </xf>
    <xf numFmtId="38" fontId="19" fillId="0" borderId="16" xfId="41" applyNumberFormat="1" applyFont="1" applyFill="1" applyBorder="1" applyAlignment="1">
      <alignment horizontal="right"/>
    </xf>
    <xf numFmtId="38" fontId="19" fillId="0" borderId="31" xfId="41" applyNumberFormat="1" applyFont="1" applyFill="1" applyBorder="1" applyAlignment="1">
      <alignment horizontal="right"/>
    </xf>
    <xf numFmtId="174" fontId="28" fillId="21" borderId="36" xfId="11" applyNumberFormat="1" applyFont="1" applyFill="1" applyBorder="1" applyAlignment="1">
      <alignment horizontal="center"/>
    </xf>
    <xf numFmtId="174" fontId="28" fillId="21" borderId="108" xfId="11" applyNumberFormat="1" applyFont="1" applyFill="1" applyBorder="1" applyAlignment="1">
      <alignment horizontal="center"/>
    </xf>
    <xf numFmtId="174" fontId="28" fillId="21" borderId="48" xfId="42" applyNumberFormat="1" applyFont="1" applyFill="1" applyBorder="1" applyAlignment="1">
      <alignment horizontal="center"/>
    </xf>
    <xf numFmtId="174" fontId="28" fillId="21" borderId="54" xfId="42" applyNumberFormat="1" applyFont="1" applyFill="1" applyBorder="1" applyAlignment="1">
      <alignment horizontal="center"/>
    </xf>
    <xf numFmtId="174" fontId="19" fillId="0" borderId="2" xfId="1" applyNumberFormat="1" applyFont="1" applyBorder="1" applyAlignment="1">
      <alignment horizontal="center"/>
    </xf>
    <xf numFmtId="174" fontId="19" fillId="0" borderId="1" xfId="1" applyNumberFormat="1" applyFont="1" applyBorder="1" applyAlignment="1">
      <alignment horizontal="center"/>
    </xf>
    <xf numFmtId="38" fontId="19" fillId="0" borderId="9" xfId="41" applyNumberFormat="1" applyFont="1" applyFill="1" applyBorder="1" applyAlignment="1">
      <alignment horizontal="right"/>
    </xf>
    <xf numFmtId="38" fontId="19" fillId="0" borderId="7" xfId="41" applyNumberFormat="1" applyFont="1" applyFill="1" applyBorder="1" applyAlignment="1">
      <alignment horizontal="right"/>
    </xf>
    <xf numFmtId="38" fontId="19" fillId="0" borderId="21" xfId="41" applyNumberFormat="1" applyFont="1" applyFill="1" applyBorder="1" applyAlignment="1">
      <alignment horizontal="right"/>
    </xf>
    <xf numFmtId="174" fontId="28" fillId="21" borderId="43" xfId="42" applyNumberFormat="1" applyFont="1" applyFill="1" applyBorder="1" applyAlignment="1">
      <alignment horizontal="center"/>
    </xf>
    <xf numFmtId="174" fontId="28" fillId="21" borderId="42" xfId="42" applyNumberFormat="1" applyFont="1" applyFill="1" applyBorder="1" applyAlignment="1">
      <alignment horizontal="center"/>
    </xf>
    <xf numFmtId="174" fontId="28" fillId="21" borderId="112" xfId="42" applyNumberFormat="1" applyFont="1" applyFill="1" applyBorder="1" applyAlignment="1">
      <alignment horizontal="center"/>
    </xf>
    <xf numFmtId="174" fontId="28" fillId="21" borderId="113" xfId="42" applyNumberFormat="1" applyFont="1" applyFill="1" applyBorder="1" applyAlignment="1">
      <alignment horizontal="center"/>
    </xf>
    <xf numFmtId="174" fontId="19" fillId="0" borderId="5" xfId="42" applyNumberFormat="1" applyFont="1" applyBorder="1" applyAlignment="1">
      <alignment horizontal="center"/>
    </xf>
    <xf numFmtId="174" fontId="19" fillId="0" borderId="12" xfId="42" applyNumberFormat="1" applyFont="1" applyBorder="1" applyAlignment="1">
      <alignment horizontal="center"/>
    </xf>
    <xf numFmtId="38" fontId="27" fillId="0" borderId="46" xfId="41" applyNumberFormat="1" applyFont="1" applyFill="1" applyBorder="1" applyAlignment="1">
      <alignment horizontal="right"/>
    </xf>
    <xf numFmtId="38" fontId="27" fillId="0" borderId="16" xfId="41" applyNumberFormat="1" applyFont="1" applyFill="1" applyBorder="1" applyAlignment="1">
      <alignment horizontal="right"/>
    </xf>
    <xf numFmtId="38" fontId="27" fillId="0" borderId="31" xfId="41" applyNumberFormat="1" applyFont="1" applyFill="1" applyBorder="1" applyAlignment="1">
      <alignment horizontal="right"/>
    </xf>
    <xf numFmtId="174" fontId="28" fillId="21" borderId="59" xfId="11" applyNumberFormat="1" applyFont="1" applyFill="1" applyBorder="1" applyAlignment="1">
      <alignment horizontal="center"/>
    </xf>
    <xf numFmtId="174" fontId="28" fillId="21" borderId="50" xfId="11" applyNumberFormat="1" applyFont="1" applyFill="1" applyBorder="1" applyAlignment="1">
      <alignment horizontal="center"/>
    </xf>
    <xf numFmtId="38" fontId="19" fillId="0" borderId="44" xfId="41" applyNumberFormat="1" applyFont="1" applyFill="1" applyBorder="1" applyAlignment="1">
      <alignment horizontal="right"/>
    </xf>
  </cellXfs>
  <cellStyles count="61">
    <cellStyle name="Comma" xfId="1" builtinId="3"/>
    <cellStyle name="Comma 2" xfId="26" xr:uid="{FE6BD9F7-F98D-4B71-BFBD-EDE8D85B4154}"/>
    <cellStyle name="Comma 2 2" xfId="27" xr:uid="{D0CFF07C-A92B-4938-8497-FB5838EAAAF6}"/>
    <cellStyle name="Comma 2 2 2" xfId="58" xr:uid="{01EAFBB2-9F52-49B1-8119-07E2CDBA470B}"/>
    <cellStyle name="Comma 3" xfId="30" xr:uid="{1071E9BE-6431-48EA-A901-14D82D9F02A2}"/>
    <cellStyle name="Comma 3 2" xfId="41" xr:uid="{4D977F0D-8347-41A1-A59F-26EBBB07BDB7}"/>
    <cellStyle name="Comma 4" xfId="54" xr:uid="{91F9EA43-763E-404C-8D4B-FA859C2182E9}"/>
    <cellStyle name="Comma 63" xfId="17" xr:uid="{C5E14D1B-6E79-4195-B197-5611F71BB4A7}"/>
    <cellStyle name="Comma 63 2" xfId="34" xr:uid="{2B5946B2-B1FB-4CF6-B03C-48096839BB2A}"/>
    <cellStyle name="Currency" xfId="2" builtinId="4"/>
    <cellStyle name="Currency 10 6" xfId="5" xr:uid="{FF58AB28-CEF3-4335-9C65-C7F206D830D3}"/>
    <cellStyle name="Currency 11" xfId="42" xr:uid="{FD418C03-499B-4768-A6FD-29234574DFE9}"/>
    <cellStyle name="Currency 2" xfId="24" xr:uid="{857FAD29-B407-472C-A00A-D6E1F8197962}"/>
    <cellStyle name="Currency 2 13" xfId="38" xr:uid="{A98DB9C2-1D6B-42B4-A5FB-B9E24C226C7B}"/>
    <cellStyle name="Currency 2 2" xfId="28" xr:uid="{99A71214-B11E-4646-959D-ACAD93896801}"/>
    <cellStyle name="Currency 27" xfId="18" xr:uid="{2C0DA1D1-E680-4A5C-B725-8B90F26058C1}"/>
    <cellStyle name="Currency 27 2" xfId="35" xr:uid="{01BA7196-9EF1-459D-BBED-666D07129685}"/>
    <cellStyle name="Currency 28" xfId="37" xr:uid="{A84CCE41-3F62-447E-A7C5-96C8A9F78F6E}"/>
    <cellStyle name="Currency 3" xfId="44" xr:uid="{6B79F011-E802-497C-BD98-AA0D2CB3E611}"/>
    <cellStyle name="Currency 4" xfId="49" xr:uid="{0F95A02B-89BF-4DEE-B3CB-4380E72AAF1D}"/>
    <cellStyle name="Currency 5" xfId="60" xr:uid="{43F46ABE-B0EF-49C8-A109-2471C9385DB6}"/>
    <cellStyle name="Input" xfId="20" builtinId="20"/>
    <cellStyle name="Normal" xfId="0" builtinId="0"/>
    <cellStyle name="Normal 10" xfId="10" xr:uid="{BFD3659D-711C-498C-B3F3-143AB57A850C}"/>
    <cellStyle name="Normal 111" xfId="52" xr:uid="{5984F3FE-192A-45C2-9F31-6618E5C2BC9F}"/>
    <cellStyle name="Normal 165" xfId="9" xr:uid="{DF076BA5-84AD-4DD9-A702-D5B3221FE948}"/>
    <cellStyle name="Normal 169" xfId="14" xr:uid="{05CB1A92-DC82-494C-96A3-7C79EB98CBC5}"/>
    <cellStyle name="Normal 189" xfId="16" xr:uid="{6FBC49FF-B040-494F-AC4A-54C508BF84F7}"/>
    <cellStyle name="Normal 189 2" xfId="33" xr:uid="{3490796B-6446-483E-BB51-02E42A8DED95}"/>
    <cellStyle name="Normal 190" xfId="11" xr:uid="{93475344-B5DF-4B31-837D-75E50D017355}"/>
    <cellStyle name="Normal 191" xfId="32" xr:uid="{45C67B04-FBB9-4AD2-AB83-734C43BF06C1}"/>
    <cellStyle name="Normal 192" xfId="15" xr:uid="{A0F96FE4-616A-42A8-9C51-CA92C74F9486}"/>
    <cellStyle name="Normal 193" xfId="13" xr:uid="{0F7D8FB1-F81F-4F9E-8840-366E6E6A22C1}"/>
    <cellStyle name="Normal 2" xfId="22" xr:uid="{37F26B0D-D5E4-4E99-A75D-286B2257E030}"/>
    <cellStyle name="Normal 2 2" xfId="4" xr:uid="{68035CFE-3949-4980-A026-C47D26CABAF6}"/>
    <cellStyle name="Normal 2 2 16" xfId="7" xr:uid="{F5C50613-274A-48A9-8DBB-D51A84B3C05F}"/>
    <cellStyle name="Normal 2 2 2" xfId="45" xr:uid="{EEF85F13-F1F6-466A-8AFF-F272C7238DA7}"/>
    <cellStyle name="Normal 2 2 3" xfId="50" xr:uid="{4151946F-1666-4883-85CE-25F858528A7E}"/>
    <cellStyle name="Normal 2 2 4" xfId="57" xr:uid="{8C16B492-5AA0-4EF5-8BEB-CC5220E2B28A}"/>
    <cellStyle name="Normal 3" xfId="21" xr:uid="{1498313C-2CCC-480B-84B9-3272FDBCA110}"/>
    <cellStyle name="Normal 3 2" xfId="31" xr:uid="{2EBE0D64-9273-42EC-A637-9889457DE128}"/>
    <cellStyle name="Normal 4" xfId="29" xr:uid="{5FA0CED8-E6B5-4772-8AF1-D6D8EBF9E584}"/>
    <cellStyle name="Normal 4 2" xfId="47" xr:uid="{1E82520E-5294-4B73-9E13-3D5A4373114A}"/>
    <cellStyle name="Normal 5" xfId="43" xr:uid="{1532BF12-99CF-4E0A-9DA6-4550F5E06017}"/>
    <cellStyle name="Normal 5 2" xfId="46" xr:uid="{6C5E017D-FD93-4BEE-B531-BDA2E71B10B2}"/>
    <cellStyle name="Normal 6" xfId="53" xr:uid="{9F9568A8-D844-4CA9-AC31-F31FB210BD81}"/>
    <cellStyle name="Normal 7" xfId="55" xr:uid="{43F17EE5-358B-4CD3-BFC0-E5912CE5EDA5}"/>
    <cellStyle name="Normal_Blank ALTCS QTRLY REPORT" xfId="8" xr:uid="{49771CA4-504B-49A6-9732-61FFB18BAA29}"/>
    <cellStyle name="Normal_Medical_Loss_Report_Report_CMO Template" xfId="19" xr:uid="{17E90E18-CB92-43E8-A4AC-704C432AFFC8}"/>
    <cellStyle name="Note" xfId="40" builtinId="10"/>
    <cellStyle name="Note 17" xfId="36" xr:uid="{02137595-C8B6-46AE-B8FF-F62470897DF4}"/>
    <cellStyle name="Note 2" xfId="23" xr:uid="{BE316645-662C-43CA-9182-FE062A6219C8}"/>
    <cellStyle name="Note 3" xfId="51" xr:uid="{35F8D036-95D0-461F-80B9-317E8819E3BA}"/>
    <cellStyle name="Note 4" xfId="59" xr:uid="{0867FB9D-C16A-4B18-A4F0-89A1EFB3238B}"/>
    <cellStyle name="Percent" xfId="39" builtinId="5"/>
    <cellStyle name="Percent 10" xfId="3" xr:uid="{331AB2D3-492F-463F-9289-88A7D3724202}"/>
    <cellStyle name="Percent 10 11" xfId="6" xr:uid="{2C68524A-F016-4718-AC23-0FAE453FE6A3}"/>
    <cellStyle name="Percent 2" xfId="12" xr:uid="{1F7CEEB4-AEA8-49C5-B12E-B85B2F0A0544}"/>
    <cellStyle name="Percent 3" xfId="25" xr:uid="{8A43BFCF-F4D2-4D9A-8AB3-BA7DD150E78C}"/>
    <cellStyle name="Percent 4" xfId="56" xr:uid="{E225CE12-F329-4D8D-BB2A-0B756CAFFF58}"/>
    <cellStyle name="Percent 48" xfId="48" xr:uid="{49747E46-0B54-4F5E-886A-CF57B911F2BB}"/>
  </cellStyles>
  <dxfs count="16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1"/>
      </font>
      <fill>
        <patternFill>
          <bgColor theme="1" tint="0.34998626667073579"/>
        </patternFill>
      </fill>
    </dxf>
    <dxf>
      <fill>
        <patternFill>
          <bgColor rgb="FFFF7C80"/>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theme="1"/>
      </font>
      <fill>
        <patternFill>
          <bgColor theme="1"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ill>
        <patternFill>
          <bgColor rgb="FFFF5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rgb="FFFF7C80"/>
        </patternFill>
      </fill>
    </dxf>
    <dxf>
      <font>
        <color rgb="FF9C0006"/>
      </font>
      <fill>
        <patternFill>
          <bgColor rgb="FFFFC7CE"/>
        </patternFill>
      </fill>
    </dxf>
    <dxf>
      <font>
        <color rgb="FF006100"/>
      </font>
      <fill>
        <patternFill>
          <bgColor rgb="FFC6EFCE"/>
        </patternFill>
      </fill>
    </dxf>
    <dxf>
      <fill>
        <patternFill>
          <bgColor rgb="FFFF5050"/>
        </patternFill>
      </fill>
    </dxf>
    <dxf>
      <fill>
        <patternFill>
          <bgColor theme="0" tint="-0.34998626667073579"/>
        </patternFill>
      </fill>
    </dxf>
    <dxf>
      <font>
        <color auto="1"/>
      </font>
      <fill>
        <patternFill>
          <bgColor theme="0"/>
        </patternFill>
      </fill>
    </dxf>
    <dxf>
      <fill>
        <patternFill>
          <bgColor rgb="FFFF5050"/>
        </patternFill>
      </fill>
    </dxf>
    <dxf>
      <fill>
        <patternFill>
          <bgColor theme="0" tint="-0.34998626667073579"/>
        </patternFill>
      </fill>
    </dxf>
    <dxf>
      <font>
        <color auto="1"/>
      </font>
      <fill>
        <patternFill>
          <bgColor theme="0"/>
        </patternFill>
      </fill>
    </dxf>
    <dxf>
      <font>
        <color rgb="FF006100"/>
      </font>
      <fill>
        <patternFill>
          <bgColor rgb="FFC6EFCE"/>
        </patternFill>
      </fill>
    </dxf>
    <dxf>
      <font>
        <color auto="1"/>
      </font>
      <fill>
        <patternFill>
          <bgColor rgb="FFFF5050"/>
        </patternFill>
      </fill>
    </dxf>
    <dxf>
      <font>
        <color rgb="FFFF0000"/>
      </font>
      <fill>
        <patternFill>
          <bgColor rgb="FFFFFFFF"/>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theme="1"/>
      </font>
      <fill>
        <patternFill>
          <bgColor rgb="FFFF5050"/>
        </patternFill>
      </fill>
    </dxf>
    <dxf>
      <font>
        <color rgb="FFFF0000"/>
      </font>
      <fill>
        <patternFill>
          <bgColor theme="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69992"/>
      <color rgb="FF8A3A6D"/>
      <color rgb="FFCC6C20"/>
      <color rgb="FF005528"/>
      <color rgb="FFEBD4A3"/>
      <color rgb="FF8CB27B"/>
      <color rgb="FF712339"/>
      <color rgb="FF318DCC"/>
      <color rgb="FF421959"/>
      <color rgb="FF0072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xdr:row>
          <xdr:rowOff>165100</xdr:rowOff>
        </xdr:from>
        <xdr:to>
          <xdr:col>0</xdr:col>
          <xdr:colOff>76200</xdr:colOff>
          <xdr:row>2</xdr:row>
          <xdr:rowOff>12700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xdr:row>
          <xdr:rowOff>165100</xdr:rowOff>
        </xdr:from>
        <xdr:to>
          <xdr:col>0</xdr:col>
          <xdr:colOff>76200</xdr:colOff>
          <xdr:row>2</xdr:row>
          <xdr:rowOff>12700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xdr:row>
          <xdr:rowOff>165100</xdr:rowOff>
        </xdr:from>
        <xdr:to>
          <xdr:col>0</xdr:col>
          <xdr:colOff>76200</xdr:colOff>
          <xdr:row>2</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xdr:row>
          <xdr:rowOff>165100</xdr:rowOff>
        </xdr:from>
        <xdr:to>
          <xdr:col>0</xdr:col>
          <xdr:colOff>76200</xdr:colOff>
          <xdr:row>2</xdr:row>
          <xdr:rowOff>12700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485775</xdr:colOff>
      <xdr:row>4</xdr:row>
      <xdr:rowOff>76199</xdr:rowOff>
    </xdr:from>
    <xdr:to>
      <xdr:col>5</xdr:col>
      <xdr:colOff>152399</xdr:colOff>
      <xdr:row>4</xdr:row>
      <xdr:rowOff>152398</xdr:rowOff>
    </xdr:to>
    <xdr:sp macro="" textlink="">
      <xdr:nvSpPr>
        <xdr:cNvPr id="2" name="Arrow: Bent-Up 1">
          <a:extLst>
            <a:ext uri="{FF2B5EF4-FFF2-40B4-BE49-F238E27FC236}">
              <a16:creationId xmlns:a16="http://schemas.microsoft.com/office/drawing/2014/main" id="{00000000-0008-0000-0D00-000002000000}"/>
            </a:ext>
          </a:extLst>
        </xdr:cNvPr>
        <xdr:cNvSpPr/>
      </xdr:nvSpPr>
      <xdr:spPr>
        <a:xfrm rot="10800000">
          <a:off x="2124075" y="771524"/>
          <a:ext cx="3105149"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203455</xdr:colOff>
      <xdr:row>4</xdr:row>
      <xdr:rowOff>69722</xdr:rowOff>
    </xdr:from>
    <xdr:to>
      <xdr:col>9</xdr:col>
      <xdr:colOff>857251</xdr:colOff>
      <xdr:row>4</xdr:row>
      <xdr:rowOff>142874</xdr:rowOff>
    </xdr:to>
    <xdr:sp macro="" textlink="">
      <xdr:nvSpPr>
        <xdr:cNvPr id="3" name="Arrow: Bent-Up 2">
          <a:extLst>
            <a:ext uri="{FF2B5EF4-FFF2-40B4-BE49-F238E27FC236}">
              <a16:creationId xmlns:a16="http://schemas.microsoft.com/office/drawing/2014/main" id="{00000000-0008-0000-0D00-000003000000}"/>
            </a:ext>
          </a:extLst>
        </xdr:cNvPr>
        <xdr:cNvSpPr/>
      </xdr:nvSpPr>
      <xdr:spPr>
        <a:xfrm rot="10800000" flipH="1">
          <a:off x="6175630" y="765047"/>
          <a:ext cx="3387471"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6</xdr:row>
      <xdr:rowOff>66675</xdr:rowOff>
    </xdr:from>
    <xdr:to>
      <xdr:col>11</xdr:col>
      <xdr:colOff>323850</xdr:colOff>
      <xdr:row>6</xdr:row>
      <xdr:rowOff>152400</xdr:rowOff>
    </xdr:to>
    <xdr:sp macro="" textlink="">
      <xdr:nvSpPr>
        <xdr:cNvPr id="4" name="Arrow: Bent-Up 3">
          <a:extLst>
            <a:ext uri="{FF2B5EF4-FFF2-40B4-BE49-F238E27FC236}">
              <a16:creationId xmlns:a16="http://schemas.microsoft.com/office/drawing/2014/main" id="{00000000-0008-0000-0D00-000004000000}"/>
            </a:ext>
          </a:extLst>
        </xdr:cNvPr>
        <xdr:cNvSpPr/>
      </xdr:nvSpPr>
      <xdr:spPr>
        <a:xfrm rot="16200000">
          <a:off x="11396662" y="1404938"/>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12</xdr:row>
      <xdr:rowOff>161929</xdr:rowOff>
    </xdr:from>
    <xdr:to>
      <xdr:col>11</xdr:col>
      <xdr:colOff>304800</xdr:colOff>
      <xdr:row>13</xdr:row>
      <xdr:rowOff>53725</xdr:rowOff>
    </xdr:to>
    <xdr:sp macro="" textlink="">
      <xdr:nvSpPr>
        <xdr:cNvPr id="5" name="Arrow: Bent-Up 4">
          <a:extLst>
            <a:ext uri="{FF2B5EF4-FFF2-40B4-BE49-F238E27FC236}">
              <a16:creationId xmlns:a16="http://schemas.microsoft.com/office/drawing/2014/main" id="{00000000-0008-0000-0D00-000005000000}"/>
            </a:ext>
          </a:extLst>
        </xdr:cNvPr>
        <xdr:cNvSpPr/>
      </xdr:nvSpPr>
      <xdr:spPr>
        <a:xfrm rot="5400000" flipV="1">
          <a:off x="11379708" y="2641858"/>
          <a:ext cx="8229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USERS/FINANCE/SHARED/IBNR/HCA/0218/HCA%20IBNR%200118%20Fin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downloads\USERS\FINANCE\SHARED\IBNR\HCA\0218\HCA%20IBNR%200118%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a2\HCA2\USERS\FINANCE\SHARED\JE'S\FY2015\1114\U15I%20NOV%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wnloads/USERS/FINANCE/SHARED/15Financials/2014-11/2014-11%20HCM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downloads\USERS\FINANCE\SHARED\15Financials\2014-11\2014-11%20HCM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eimbUnit\Hospitals\Assessment\Payments\FY2013\Q4%20-%20No%20Q4%20payments%20due%20to%202013%20Session%20SB166\2013Q4%20Hospital%20Assessment%20Calcul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embwfs1\Dept\Finance\State%20Reporting\State%20Quarterly%20Rptg\CYE%202009\Q4-09\ALTCS\Bridgeway%20ALTCS_Q4%20CY09_working%20cop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FINANCE/MedEcon/Reports/Dashboard/ExecRpts/HCA%20TRENDING%202013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cott/Library/Containers/com.apple.mail/Data/Library/Mail%20Downloads/48619E45-3405-4151-AD26-5E0BBAD0D23A/2014Q1%20Hospital%20Assessment%20Calcul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UFCCARE\HIV\HIV02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ca2\HCA2\USERS\FINANCE\KWillie\Quarterly%20Crosswalk%20Referenc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O_Reserving/Evercare/AZ%20Evercare%20Select/Reports%2010%20&amp;%2011/2006_CY/Q1/Rpts%2010_11%20(1Q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GO_Reserving\Evercare\AZ%20Evercare%20Select\Reports%2010%20&amp;%2011\2006_CY\Q1\Rpts%2010_11%20(1Q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 val="****"/>
      <sheetName val="Appendix A-Region"/>
      <sheetName val="June 17"/>
      <sheetName val="Lookups"/>
      <sheetName val="#6- Allow Dir Med Exp"/>
      <sheetName val="#19A-R2, 3 Mos w 0 (Acute)"/>
      <sheetName val="Dropdown_Ctrls"/>
      <sheetName val="Options"/>
      <sheetName val="RDO_Non-Expansion_PH COAs"/>
      <sheetName val="Control"/>
      <sheetName val="Key"/>
      <sheetName val="Schedule 1-E A"/>
      <sheetName val="Look_up"/>
      <sheetName val="&lt;Overview &amp; Legend&gt;"/>
      <sheetName val="_____x0000_ÿ"/>
      <sheetName val="____"/>
      <sheetName val="Sheet5"/>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P"/>
      <sheetName val="PPC"/>
      <sheetName val="ProspClaimsLag"/>
      <sheetName val="PPCClaimsLag"/>
      <sheetName val="TOTAL"/>
      <sheetName val="TotalClaimsLag"/>
      <sheetName val="MSI"/>
      <sheetName val="Summary"/>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P"/>
      <sheetName val="PPC"/>
      <sheetName val="ProspClaimsLag"/>
      <sheetName val="PPCClaimsLag"/>
      <sheetName val="TOTAL"/>
      <sheetName val="TotalClaimsLag"/>
      <sheetName val="MSI"/>
      <sheetName val="Summary"/>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FOR INVOICES RECEIVED"/>
      <sheetName val="EXP FOR INVOICES RECEIVED OLD"/>
      <sheetName val="UPLOAD"/>
      <sheetName val="INVOICES RECEIVED"/>
      <sheetName val="Invoices"/>
      <sheetName val="INV RCVD PRIOR MNTH PAID CURR"/>
      <sheetName val="Summary"/>
      <sheetName val="MONTH END ACCRUAL JE"/>
      <sheetName val="MONTH END ACCRUAL"/>
      <sheetName val="ACCRUAL UPLOA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pyTo"/>
      <sheetName val="CheckFigs"/>
      <sheetName val="AcctMap"/>
      <sheetName val="DeptMap"/>
      <sheetName val="Budget"/>
      <sheetName val="TB"/>
      <sheetName val="GL293"/>
      <sheetName val="&lt;-- Admin | Core --&gt;"/>
      <sheetName val="BS"/>
      <sheetName val="MCBvA"/>
      <sheetName val="CurVPY"/>
      <sheetName val="MCTrend"/>
      <sheetName val="MCDept"/>
      <sheetName val="15BudTrend"/>
      <sheetName val="&lt;-- Core | Depts --&gt;"/>
      <sheetName val="BvAAdmin"/>
      <sheetName val="TrendAdmin"/>
      <sheetName val="BvAAudit"/>
      <sheetName val="TrendAudit"/>
      <sheetName val="BvAClaims"/>
      <sheetName val="TrendClaims"/>
      <sheetName val="BvAComp"/>
      <sheetName val="TrendComp"/>
      <sheetName val="BvABenefits"/>
      <sheetName val="TrendBenefits"/>
      <sheetName val="BvAFinAc"/>
      <sheetName val="TrendFinAc"/>
      <sheetName val="BvAFinEco"/>
      <sheetName val="TrendFinEco"/>
      <sheetName val="BvAFinPlan"/>
      <sheetName val="TrendFinPlan"/>
      <sheetName val="BvAFinRec"/>
      <sheetName val="TrendFinRec"/>
      <sheetName val="BvAFinPR"/>
      <sheetName val="TrendFinPR"/>
      <sheetName val="BvAHR"/>
      <sheetName val="TrendHR"/>
      <sheetName val="BvAIS"/>
      <sheetName val="TrendIS"/>
      <sheetName val="BvAMark"/>
      <sheetName val="TrendMark"/>
      <sheetName val="BvAMSMgt"/>
      <sheetName val="TrendMSMgt"/>
      <sheetName val="BvAMSCM"/>
      <sheetName val="TrendMSCM"/>
      <sheetName val="BvAMSMat"/>
      <sheetName val="TrendMSMat"/>
      <sheetName val="BvAMSUtil"/>
      <sheetName val="TrendMSUtil"/>
      <sheetName val="BvAMSPA"/>
      <sheetName val="TrendMSPA"/>
      <sheetName val="BvAMSQual"/>
      <sheetName val="TrendMSQual"/>
      <sheetName val="BvAMSRX"/>
      <sheetName val="TrendMSRX"/>
      <sheetName val="BvAMSDis"/>
      <sheetName val="TrendMSDis"/>
      <sheetName val="BvAMSCE"/>
      <sheetName val="TrendMSCE"/>
      <sheetName val="BvAMemSvs"/>
      <sheetName val="TrendMemSvs"/>
      <sheetName val="BvANet"/>
      <sheetName val="TrendNet"/>
      <sheetName val="BvANonOp"/>
      <sheetName val="TrendNonOp"/>
      <sheetName val="BvAProjM"/>
      <sheetName val="TrendProjM"/>
      <sheetName val="BvARisk"/>
      <sheetName val="TrendRisk"/>
      <sheetName val="BvAWR"/>
      <sheetName val="TrendWR"/>
      <sheetName val="Formula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pyTo"/>
      <sheetName val="CheckFigs"/>
      <sheetName val="AcctMap"/>
      <sheetName val="DeptMap"/>
      <sheetName val="Budget"/>
      <sheetName val="TB"/>
      <sheetName val="GL293"/>
      <sheetName val="&lt;-- Admin | Core --&gt;"/>
      <sheetName val="BS"/>
      <sheetName val="MCBvA"/>
      <sheetName val="CurVPY"/>
      <sheetName val="MCTrend"/>
      <sheetName val="MCDept"/>
      <sheetName val="15BudTrend"/>
      <sheetName val="&lt;-- Core | Depts --&gt;"/>
      <sheetName val="BvAAdmin"/>
      <sheetName val="TrendAdmin"/>
      <sheetName val="BvAAudit"/>
      <sheetName val="TrendAudit"/>
      <sheetName val="BvAClaims"/>
      <sheetName val="TrendClaims"/>
      <sheetName val="BvAComp"/>
      <sheetName val="TrendComp"/>
      <sheetName val="BvABenefits"/>
      <sheetName val="TrendBenefits"/>
      <sheetName val="BvAFinAc"/>
      <sheetName val="TrendFinAc"/>
      <sheetName val="BvAFinEco"/>
      <sheetName val="TrendFinEco"/>
      <sheetName val="BvAFinPlan"/>
      <sheetName val="TrendFinPlan"/>
      <sheetName val="BvAFinRec"/>
      <sheetName val="TrendFinRec"/>
      <sheetName val="BvAFinPR"/>
      <sheetName val="TrendFinPR"/>
      <sheetName val="BvAHR"/>
      <sheetName val="TrendHR"/>
      <sheetName val="BvAIS"/>
      <sheetName val="TrendIS"/>
      <sheetName val="BvAMark"/>
      <sheetName val="TrendMark"/>
      <sheetName val="BvAMSMgt"/>
      <sheetName val="TrendMSMgt"/>
      <sheetName val="BvAMSCM"/>
      <sheetName val="TrendMSCM"/>
      <sheetName val="BvAMSMat"/>
      <sheetName val="TrendMSMat"/>
      <sheetName val="BvAMSUtil"/>
      <sheetName val="TrendMSUtil"/>
      <sheetName val="BvAMSPA"/>
      <sheetName val="TrendMSPA"/>
      <sheetName val="BvAMSQual"/>
      <sheetName val="TrendMSQual"/>
      <sheetName val="BvAMSRX"/>
      <sheetName val="TrendMSRX"/>
      <sheetName val="BvAMSDis"/>
      <sheetName val="TrendMSDis"/>
      <sheetName val="BvAMSCE"/>
      <sheetName val="TrendMSCE"/>
      <sheetName val="BvAMemSvs"/>
      <sheetName val="TrendMemSvs"/>
      <sheetName val="BvANet"/>
      <sheetName val="TrendNet"/>
      <sheetName val="BvANonOp"/>
      <sheetName val="TrendNonOp"/>
      <sheetName val="BvAProjM"/>
      <sheetName val="TrendProjM"/>
      <sheetName val="BvARisk"/>
      <sheetName val="TrendRisk"/>
      <sheetName val="BvAWR"/>
      <sheetName val="TrendWR"/>
      <sheetName val="Formula Ref"/>
    </sheetNames>
    <sheetDataSet>
      <sheetData sheetId="0">
        <row r="6">
          <cell r="F6">
            <v>41973</v>
          </cell>
        </row>
      </sheetData>
      <sheetData sheetId="1"/>
      <sheetData sheetId="2"/>
      <sheetData sheetId="3">
        <row r="1">
          <cell r="A1" t="str">
            <v>Account Number</v>
          </cell>
          <cell r="B1" t="str">
            <v>Description</v>
          </cell>
          <cell r="C1" t="str">
            <v>Individual Level</v>
          </cell>
        </row>
        <row r="2">
          <cell r="A2">
            <v>100000</v>
          </cell>
          <cell r="B2" t="str">
            <v>Disbursements</v>
          </cell>
          <cell r="C2" t="str">
            <v>Cash and Cash Equivalents</v>
          </cell>
        </row>
        <row r="3">
          <cell r="A3">
            <v>100005</v>
          </cell>
          <cell r="B3" t="str">
            <v>A/P Disbursement account</v>
          </cell>
          <cell r="C3" t="str">
            <v>Cash and Cash Equivalents</v>
          </cell>
        </row>
        <row r="4">
          <cell r="A4">
            <v>100010</v>
          </cell>
          <cell r="B4" t="str">
            <v>Payroll account</v>
          </cell>
          <cell r="C4" t="str">
            <v>Cash and Cash Equivalents</v>
          </cell>
        </row>
        <row r="5">
          <cell r="A5">
            <v>100015</v>
          </cell>
          <cell r="B5" t="str">
            <v>Cash clearing account</v>
          </cell>
          <cell r="C5" t="str">
            <v>Cash and Cash Equivalents</v>
          </cell>
        </row>
        <row r="6">
          <cell r="A6">
            <v>100020</v>
          </cell>
          <cell r="B6" t="str">
            <v>Payroll clearing account</v>
          </cell>
          <cell r="C6" t="str">
            <v>Cash and Cash Equivalents</v>
          </cell>
        </row>
        <row r="7">
          <cell r="A7">
            <v>100055</v>
          </cell>
          <cell r="B7" t="str">
            <v>Petty Cash</v>
          </cell>
          <cell r="C7" t="str">
            <v>Cash and Cash Equivalents</v>
          </cell>
        </row>
        <row r="8">
          <cell r="A8">
            <v>100500</v>
          </cell>
          <cell r="B8" t="str">
            <v>Restricted - General</v>
          </cell>
          <cell r="C8" t="str">
            <v>Cash and Cash Equivalents</v>
          </cell>
        </row>
        <row r="9">
          <cell r="A9">
            <v>130250</v>
          </cell>
          <cell r="B9" t="str">
            <v>Prepaid Other</v>
          </cell>
          <cell r="C9" t="str">
            <v>Prepaid Asset</v>
          </cell>
        </row>
        <row r="10">
          <cell r="A10">
            <v>140200</v>
          </cell>
          <cell r="B10" t="str">
            <v>Other Receivables</v>
          </cell>
          <cell r="C10" t="str">
            <v>Other Current Assets</v>
          </cell>
        </row>
        <row r="11">
          <cell r="A11">
            <v>140225</v>
          </cell>
          <cell r="B11" t="str">
            <v>Interfacility Rec-Salary Alloc</v>
          </cell>
          <cell r="C11" t="str">
            <v>Other Current Assets</v>
          </cell>
        </row>
        <row r="12">
          <cell r="A12">
            <v>150500</v>
          </cell>
          <cell r="B12" t="str">
            <v>Major Movable Equip - Hospital</v>
          </cell>
          <cell r="C12" t="str">
            <v>Equipment, Net</v>
          </cell>
        </row>
        <row r="13">
          <cell r="A13">
            <v>150510</v>
          </cell>
          <cell r="B13" t="str">
            <v>Major Movable Equip -Prof Bldg</v>
          </cell>
          <cell r="C13" t="str">
            <v>Equipment, Net</v>
          </cell>
        </row>
        <row r="14">
          <cell r="A14">
            <v>150995</v>
          </cell>
          <cell r="B14" t="str">
            <v>Asset Clearing</v>
          </cell>
          <cell r="C14" t="str">
            <v>Equipment, Net</v>
          </cell>
        </row>
        <row r="15">
          <cell r="A15">
            <v>160500</v>
          </cell>
          <cell r="B15" t="str">
            <v>Acc Depr-Maj Mov - Hosp</v>
          </cell>
          <cell r="C15" t="str">
            <v>Equipment, Net</v>
          </cell>
        </row>
        <row r="16">
          <cell r="A16">
            <v>162900</v>
          </cell>
          <cell r="B16" t="str">
            <v>Project 20</v>
          </cell>
          <cell r="C16" t="str">
            <v>Equipment, Net</v>
          </cell>
        </row>
        <row r="17">
          <cell r="A17">
            <v>170602</v>
          </cell>
          <cell r="B17" t="str">
            <v>Rent Deposits</v>
          </cell>
          <cell r="C17" t="str">
            <v>Refundable Deposits</v>
          </cell>
        </row>
        <row r="18">
          <cell r="A18">
            <v>200020</v>
          </cell>
          <cell r="B18" t="str">
            <v>Accounts Payable System</v>
          </cell>
          <cell r="C18" t="str">
            <v>Accounts Payable</v>
          </cell>
        </row>
        <row r="19">
          <cell r="A19">
            <v>200025</v>
          </cell>
          <cell r="B19" t="str">
            <v>A/P System Accruals</v>
          </cell>
          <cell r="C19" t="str">
            <v>Accounts Payable</v>
          </cell>
        </row>
        <row r="20">
          <cell r="A20">
            <v>210000</v>
          </cell>
          <cell r="B20" t="str">
            <v>Accrued Payroll</v>
          </cell>
          <cell r="C20" t="str">
            <v>Accrued Payroll Liabilities</v>
          </cell>
        </row>
        <row r="21">
          <cell r="A21">
            <v>210745</v>
          </cell>
          <cell r="B21" t="str">
            <v>State Disability Ins Payable</v>
          </cell>
          <cell r="C21" t="str">
            <v>Accrued Payroll Liabilities</v>
          </cell>
        </row>
        <row r="22">
          <cell r="A22">
            <v>210020</v>
          </cell>
          <cell r="B22" t="str">
            <v>Accrued PTO</v>
          </cell>
          <cell r="C22" t="str">
            <v>Accrued Payroll Liabilities</v>
          </cell>
        </row>
        <row r="23">
          <cell r="A23">
            <v>210080</v>
          </cell>
          <cell r="B23" t="str">
            <v>Accrued mgmt bonus</v>
          </cell>
          <cell r="C23" t="str">
            <v>Accrued Payroll Liabilities</v>
          </cell>
        </row>
        <row r="24">
          <cell r="A24">
            <v>210510</v>
          </cell>
          <cell r="B24" t="str">
            <v>Miscellaneous Deducts Payable</v>
          </cell>
          <cell r="C24" t="str">
            <v>Accrued Payroll Liabilities</v>
          </cell>
        </row>
        <row r="25">
          <cell r="A25">
            <v>210520</v>
          </cell>
          <cell r="B25" t="str">
            <v>FICA Taxes Payable - EE</v>
          </cell>
          <cell r="C25" t="str">
            <v>Accrued Payroll Liabilities</v>
          </cell>
        </row>
        <row r="26">
          <cell r="A26">
            <v>210530</v>
          </cell>
          <cell r="B26" t="str">
            <v>FICA Taxes Payable - ER</v>
          </cell>
          <cell r="C26" t="str">
            <v>Accrued Payroll Liabilities</v>
          </cell>
        </row>
        <row r="27">
          <cell r="A27">
            <v>210540</v>
          </cell>
          <cell r="B27" t="str">
            <v>Federal unemploy taxes payable</v>
          </cell>
          <cell r="C27" t="str">
            <v>Accrued Payroll Liabilities</v>
          </cell>
        </row>
        <row r="28">
          <cell r="A28">
            <v>210550</v>
          </cell>
          <cell r="B28" t="str">
            <v>State unemploy taxes payable</v>
          </cell>
          <cell r="C28" t="str">
            <v>Accrued Payroll Liabilities</v>
          </cell>
        </row>
        <row r="29">
          <cell r="A29">
            <v>210560</v>
          </cell>
          <cell r="B29" t="str">
            <v>Federal withhold taxes payable</v>
          </cell>
          <cell r="C29" t="str">
            <v>Accrued Payroll Liabilities</v>
          </cell>
        </row>
        <row r="30">
          <cell r="A30">
            <v>210570</v>
          </cell>
          <cell r="B30" t="str">
            <v>State withholding tax payable</v>
          </cell>
          <cell r="C30" t="str">
            <v>Accrued Payroll Liabilities</v>
          </cell>
        </row>
        <row r="31">
          <cell r="A31">
            <v>210655</v>
          </cell>
          <cell r="B31" t="str">
            <v>Accr Exec Pension Plan-Curr</v>
          </cell>
          <cell r="C31" t="str">
            <v>Accrued Payroll Liabilities</v>
          </cell>
        </row>
        <row r="32">
          <cell r="A32">
            <v>210680</v>
          </cell>
          <cell r="B32" t="str">
            <v>401k Contributions Payable</v>
          </cell>
          <cell r="C32" t="str">
            <v>Accrued Payroll Liabilities</v>
          </cell>
        </row>
        <row r="33">
          <cell r="A33">
            <v>210695</v>
          </cell>
          <cell r="B33" t="str">
            <v>Health Care FSA Payable</v>
          </cell>
          <cell r="C33" t="str">
            <v>Accrued Payroll Liabilities</v>
          </cell>
        </row>
        <row r="34">
          <cell r="A34">
            <v>210700</v>
          </cell>
          <cell r="B34" t="str">
            <v>Health care spending account</v>
          </cell>
          <cell r="C34" t="str">
            <v>Accrued Payroll Liabilities</v>
          </cell>
        </row>
        <row r="35">
          <cell r="A35">
            <v>210705</v>
          </cell>
          <cell r="B35" t="str">
            <v>Medical Plans IBNR</v>
          </cell>
          <cell r="C35" t="str">
            <v>Accrued Payroll Liabilities</v>
          </cell>
        </row>
        <row r="36">
          <cell r="A36">
            <v>210741</v>
          </cell>
          <cell r="B36" t="str">
            <v>Voluntary Short Term Disabilit</v>
          </cell>
          <cell r="C36" t="str">
            <v>Accrued Payroll Liabilities</v>
          </cell>
        </row>
        <row r="37">
          <cell r="A37">
            <v>210743</v>
          </cell>
          <cell r="B37" t="str">
            <v>Lifetime Term Insurance</v>
          </cell>
          <cell r="C37" t="str">
            <v>Accrued Payroll Liabilities</v>
          </cell>
        </row>
        <row r="38">
          <cell r="A38">
            <v>210770</v>
          </cell>
          <cell r="B38" t="str">
            <v>Critical Illness Premiums Pay.</v>
          </cell>
          <cell r="C38" t="str">
            <v>Accrued Payroll Liabilities</v>
          </cell>
        </row>
        <row r="39">
          <cell r="A39">
            <v>210775</v>
          </cell>
          <cell r="B39" t="str">
            <v>Universal Life Premiums Pay.</v>
          </cell>
          <cell r="C39" t="str">
            <v>Accrued Payroll Liabilities</v>
          </cell>
        </row>
        <row r="40">
          <cell r="A40">
            <v>210780</v>
          </cell>
          <cell r="B40" t="str">
            <v>Accident Ins Premiums Payable</v>
          </cell>
          <cell r="C40" t="str">
            <v>Accrued Payroll Liabilities</v>
          </cell>
        </row>
        <row r="41">
          <cell r="A41">
            <v>210830</v>
          </cell>
          <cell r="B41" t="str">
            <v>Garnishments/Mandatory Deducts</v>
          </cell>
          <cell r="C41" t="str">
            <v>Accrued Payroll Liabilities</v>
          </cell>
        </row>
        <row r="42">
          <cell r="A42">
            <v>210836</v>
          </cell>
          <cell r="B42" t="str">
            <v>Prepaid Legal Deducts Payable</v>
          </cell>
          <cell r="C42" t="str">
            <v>Accrued Payroll Liabilities</v>
          </cell>
        </row>
        <row r="43">
          <cell r="A43">
            <v>210870</v>
          </cell>
          <cell r="B43" t="str">
            <v>Hospital AR</v>
          </cell>
          <cell r="C43" t="str">
            <v>Accounts Payable</v>
          </cell>
        </row>
        <row r="44">
          <cell r="A44">
            <v>220320</v>
          </cell>
          <cell r="B44" t="str">
            <v>Accrued Property Taxes</v>
          </cell>
          <cell r="C44" t="str">
            <v>Accrued Property Tax</v>
          </cell>
        </row>
        <row r="45">
          <cell r="A45">
            <v>220330</v>
          </cell>
          <cell r="B45" t="str">
            <v>Accr Taxes - State Franchise</v>
          </cell>
          <cell r="C45" t="str">
            <v>Other Liabilities</v>
          </cell>
        </row>
        <row r="46">
          <cell r="A46">
            <v>220345</v>
          </cell>
          <cell r="B46" t="str">
            <v>Accrued Taxes and Licenses</v>
          </cell>
          <cell r="C46" t="str">
            <v>Other Liabilities</v>
          </cell>
        </row>
        <row r="47">
          <cell r="A47">
            <v>230230</v>
          </cell>
          <cell r="B47" t="str">
            <v>Credits - Defer Mgt Bonus</v>
          </cell>
          <cell r="C47" t="str">
            <v>Other Liabilities</v>
          </cell>
        </row>
        <row r="48">
          <cell r="A48">
            <v>230300</v>
          </cell>
          <cell r="B48" t="str">
            <v>Deferred Rent</v>
          </cell>
          <cell r="C48" t="str">
            <v>Deferred Rent</v>
          </cell>
        </row>
        <row r="49">
          <cell r="A49">
            <v>230470</v>
          </cell>
          <cell r="B49" t="str">
            <v>Unclaimed Checks</v>
          </cell>
          <cell r="C49" t="str">
            <v>Accrued Payroll Liabilities</v>
          </cell>
        </row>
        <row r="50">
          <cell r="A50">
            <v>235030</v>
          </cell>
          <cell r="B50" t="str">
            <v>Accruals - Med Exp-OT</v>
          </cell>
          <cell r="C50" t="str">
            <v>Other Liabilities</v>
          </cell>
        </row>
        <row r="51">
          <cell r="A51">
            <v>235035</v>
          </cell>
          <cell r="B51" t="str">
            <v>Accruals - Physician</v>
          </cell>
          <cell r="C51" t="str">
            <v>Other Liabilities</v>
          </cell>
        </row>
        <row r="52">
          <cell r="A52">
            <v>235040</v>
          </cell>
          <cell r="B52" t="str">
            <v>Accruals - Other</v>
          </cell>
          <cell r="C52" t="str">
            <v>Other Liabilities</v>
          </cell>
        </row>
        <row r="53">
          <cell r="A53">
            <v>240500</v>
          </cell>
          <cell r="B53" t="str">
            <v>I/C Corp HQ</v>
          </cell>
          <cell r="C53" t="str">
            <v>Due From Corporate</v>
          </cell>
        </row>
        <row r="54">
          <cell r="A54">
            <v>240603</v>
          </cell>
          <cell r="B54" t="str">
            <v>I/C Heath Choice</v>
          </cell>
          <cell r="C54" t="str">
            <v>Due From Health Plans</v>
          </cell>
        </row>
        <row r="55">
          <cell r="A55">
            <v>240615</v>
          </cell>
          <cell r="B55" t="str">
            <v>I/C Health Choice Generations</v>
          </cell>
          <cell r="C55" t="str">
            <v>Due From Health Plans</v>
          </cell>
        </row>
        <row r="56">
          <cell r="A56">
            <v>240621</v>
          </cell>
          <cell r="B56" t="str">
            <v>I/C Health Choice of Utah</v>
          </cell>
          <cell r="C56" t="str">
            <v>Due From Health Plans</v>
          </cell>
        </row>
        <row r="57">
          <cell r="A57">
            <v>240622</v>
          </cell>
          <cell r="B57" t="str">
            <v>I/C Health Choice Preferred Ph</v>
          </cell>
          <cell r="C57" t="str">
            <v>Due From Health Plans</v>
          </cell>
        </row>
        <row r="58">
          <cell r="A58">
            <v>240625</v>
          </cell>
          <cell r="B58" t="str">
            <v>I/C Health Choice Insurance Co</v>
          </cell>
          <cell r="C58" t="str">
            <v>Due From Health Plans</v>
          </cell>
        </row>
        <row r="59">
          <cell r="A59">
            <v>240629</v>
          </cell>
          <cell r="B59" t="str">
            <v>I/C Health Choice Pref Network</v>
          </cell>
          <cell r="C59" t="str">
            <v>Due From Health Plans</v>
          </cell>
        </row>
        <row r="60">
          <cell r="A60">
            <v>240631</v>
          </cell>
          <cell r="B60" t="str">
            <v>I/C Health Choice Florida</v>
          </cell>
          <cell r="C60" t="str">
            <v>Due From Health Plans</v>
          </cell>
        </row>
        <row r="61">
          <cell r="A61">
            <v>240809</v>
          </cell>
          <cell r="B61" t="str">
            <v>I/C Physicians Group of Arizon</v>
          </cell>
          <cell r="C61" t="str">
            <v>Due From Corporate</v>
          </cell>
        </row>
        <row r="62">
          <cell r="A62">
            <v>290150</v>
          </cell>
          <cell r="B62" t="str">
            <v>PY Retained Earnings</v>
          </cell>
          <cell r="C62" t="str">
            <v>Retained Earnings</v>
          </cell>
        </row>
        <row r="63">
          <cell r="A63">
            <v>290999</v>
          </cell>
          <cell r="B63" t="str">
            <v>Error Suspense</v>
          </cell>
          <cell r="C63" t="str">
            <v>Accounts Payable</v>
          </cell>
        </row>
        <row r="64">
          <cell r="A64">
            <v>760200</v>
          </cell>
          <cell r="B64" t="str">
            <v>Other Income</v>
          </cell>
          <cell r="C64" t="str">
            <v>Other Revenue</v>
          </cell>
        </row>
        <row r="65">
          <cell r="A65">
            <v>800000</v>
          </cell>
          <cell r="B65" t="str">
            <v>Salaries and Wages</v>
          </cell>
          <cell r="C65" t="str">
            <v>Salaries and Wages</v>
          </cell>
        </row>
        <row r="66">
          <cell r="A66">
            <v>800001</v>
          </cell>
          <cell r="B66" t="str">
            <v>Productive salaries and wages</v>
          </cell>
          <cell r="C66" t="str">
            <v>Salaries and Wages</v>
          </cell>
        </row>
        <row r="67">
          <cell r="A67">
            <v>800003</v>
          </cell>
          <cell r="B67" t="str">
            <v>Prod Salaries - NonPhys MP Reg</v>
          </cell>
          <cell r="C67" t="str">
            <v>Salaries and Wages</v>
          </cell>
        </row>
        <row r="68">
          <cell r="A68">
            <v>800005</v>
          </cell>
          <cell r="B68" t="str">
            <v>Regular Pay</v>
          </cell>
          <cell r="C68" t="str">
            <v>Salaries and Wages</v>
          </cell>
        </row>
        <row r="69">
          <cell r="A69">
            <v>800007</v>
          </cell>
          <cell r="B69" t="str">
            <v>Overtime Pay</v>
          </cell>
          <cell r="C69" t="str">
            <v>Salaries and Wages</v>
          </cell>
        </row>
        <row r="70">
          <cell r="A70">
            <v>800009</v>
          </cell>
          <cell r="B70" t="str">
            <v>Regular Pay</v>
          </cell>
          <cell r="C70" t="str">
            <v>Salaries and Wages</v>
          </cell>
        </row>
        <row r="71">
          <cell r="A71">
            <v>800011</v>
          </cell>
          <cell r="B71" t="str">
            <v>Regular Pay</v>
          </cell>
          <cell r="C71" t="str">
            <v>Salaries and Wages</v>
          </cell>
        </row>
        <row r="72">
          <cell r="A72">
            <v>800013</v>
          </cell>
          <cell r="B72" t="str">
            <v>Regular Pay</v>
          </cell>
          <cell r="C72" t="str">
            <v>Salaries and Wages</v>
          </cell>
        </row>
        <row r="73">
          <cell r="A73">
            <v>800015</v>
          </cell>
          <cell r="B73" t="str">
            <v>Regular Pay</v>
          </cell>
          <cell r="C73" t="str">
            <v>Salaries and Wages</v>
          </cell>
        </row>
        <row r="74">
          <cell r="A74">
            <v>800051</v>
          </cell>
          <cell r="B74" t="str">
            <v>Sick pay</v>
          </cell>
          <cell r="C74" t="str">
            <v>Benefits</v>
          </cell>
        </row>
        <row r="75">
          <cell r="A75">
            <v>800057</v>
          </cell>
          <cell r="B75" t="str">
            <v>Excused Absence</v>
          </cell>
          <cell r="C75" t="str">
            <v>Benefits</v>
          </cell>
        </row>
        <row r="76">
          <cell r="A76">
            <v>800058</v>
          </cell>
          <cell r="B76" t="str">
            <v>Contract Labor</v>
          </cell>
          <cell r="C76" t="str">
            <v>Contract Labor</v>
          </cell>
        </row>
        <row r="77">
          <cell r="A77">
            <v>800059</v>
          </cell>
          <cell r="B77" t="str">
            <v>PTO - PTO Cashed In</v>
          </cell>
          <cell r="C77" t="str">
            <v>Salaries and Wages</v>
          </cell>
        </row>
        <row r="78">
          <cell r="A78">
            <v>800061</v>
          </cell>
          <cell r="B78" t="str">
            <v>Bonuses</v>
          </cell>
          <cell r="C78" t="str">
            <v>Benefits</v>
          </cell>
        </row>
        <row r="79">
          <cell r="A79">
            <v>800065</v>
          </cell>
          <cell r="B79" t="str">
            <v>Severance</v>
          </cell>
          <cell r="C79" t="str">
            <v>Benefits</v>
          </cell>
        </row>
        <row r="80">
          <cell r="A80">
            <v>800067</v>
          </cell>
          <cell r="B80" t="str">
            <v>Inservice Education</v>
          </cell>
          <cell r="C80" t="str">
            <v>Benefits</v>
          </cell>
        </row>
        <row r="81">
          <cell r="A81">
            <v>800069</v>
          </cell>
          <cell r="B81" t="str">
            <v>Inservice Education</v>
          </cell>
          <cell r="C81" t="str">
            <v>Benefits</v>
          </cell>
        </row>
        <row r="82">
          <cell r="A82">
            <v>800071</v>
          </cell>
          <cell r="B82" t="str">
            <v>On Call Pay (Standby)</v>
          </cell>
          <cell r="C82" t="str">
            <v>Benefits</v>
          </cell>
        </row>
        <row r="83">
          <cell r="A83">
            <v>800077</v>
          </cell>
          <cell r="B83" t="str">
            <v>Other Non-Productive Time</v>
          </cell>
          <cell r="C83" t="str">
            <v>Salaries and Wages</v>
          </cell>
        </row>
        <row r="84">
          <cell r="A84">
            <v>800078</v>
          </cell>
          <cell r="B84" t="str">
            <v>Other Non-Productive-Commissio</v>
          </cell>
          <cell r="C84" t="str">
            <v>Benefits</v>
          </cell>
        </row>
        <row r="85">
          <cell r="A85">
            <v>800080</v>
          </cell>
          <cell r="B85" t="str">
            <v>Payroll Expense Clearing</v>
          </cell>
          <cell r="C85" t="str">
            <v>Benefits</v>
          </cell>
        </row>
        <row r="86">
          <cell r="A86">
            <v>800579</v>
          </cell>
          <cell r="B86" t="str">
            <v>Purchased clerical services</v>
          </cell>
          <cell r="C86" t="str">
            <v>Contract Labor</v>
          </cell>
        </row>
        <row r="87">
          <cell r="A87">
            <v>810103</v>
          </cell>
          <cell r="B87" t="str">
            <v>Payroll taxes - FICA</v>
          </cell>
          <cell r="C87" t="str">
            <v>Benefits</v>
          </cell>
        </row>
        <row r="88">
          <cell r="A88">
            <v>810105</v>
          </cell>
          <cell r="B88" t="str">
            <v>Payroll taxes - fed unemploy</v>
          </cell>
          <cell r="C88" t="str">
            <v>Benefits</v>
          </cell>
        </row>
        <row r="89">
          <cell r="A89">
            <v>810107</v>
          </cell>
          <cell r="B89" t="str">
            <v>Payroll taxes - state unemploy</v>
          </cell>
          <cell r="C89" t="str">
            <v>Benefits</v>
          </cell>
        </row>
        <row r="90">
          <cell r="A90">
            <v>810109</v>
          </cell>
          <cell r="B90" t="str">
            <v>Other payroll taxes</v>
          </cell>
          <cell r="C90" t="str">
            <v>Benefits</v>
          </cell>
        </row>
        <row r="91">
          <cell r="A91">
            <v>810115</v>
          </cell>
          <cell r="B91" t="str">
            <v>Workers' Excess Indemnity</v>
          </cell>
          <cell r="C91" t="str">
            <v>Benefits</v>
          </cell>
        </row>
        <row r="92">
          <cell r="A92">
            <v>810117</v>
          </cell>
          <cell r="B92" t="str">
            <v>Corporate Health Benefits Allo</v>
          </cell>
          <cell r="C92" t="str">
            <v>Benefits</v>
          </cell>
        </row>
        <row r="93">
          <cell r="A93">
            <v>810119</v>
          </cell>
          <cell r="B93" t="str">
            <v>Employee AD&amp;D</v>
          </cell>
          <cell r="C93" t="str">
            <v>Benefits</v>
          </cell>
        </row>
        <row r="94">
          <cell r="A94">
            <v>810121</v>
          </cell>
          <cell r="B94" t="str">
            <v>Employee Dental Insurance</v>
          </cell>
          <cell r="C94" t="str">
            <v>Benefits</v>
          </cell>
        </row>
        <row r="95">
          <cell r="A95">
            <v>810123</v>
          </cell>
          <cell r="B95" t="str">
            <v>Employee Life/AD&amp;D Insurance</v>
          </cell>
          <cell r="C95" t="str">
            <v>Benefits</v>
          </cell>
        </row>
        <row r="96">
          <cell r="A96">
            <v>810125</v>
          </cell>
          <cell r="B96" t="str">
            <v>Vision Care insurance</v>
          </cell>
          <cell r="C96" t="str">
            <v>Benefits</v>
          </cell>
        </row>
        <row r="97">
          <cell r="A97">
            <v>810126</v>
          </cell>
          <cell r="B97" t="str">
            <v>Opt Out Credits Paid</v>
          </cell>
          <cell r="C97" t="str">
            <v>Benefits</v>
          </cell>
        </row>
        <row r="98">
          <cell r="A98">
            <v>810129</v>
          </cell>
          <cell r="B98" t="str">
            <v>Other Employee Benefits</v>
          </cell>
          <cell r="C98" t="str">
            <v>Benefits</v>
          </cell>
        </row>
        <row r="99">
          <cell r="A99">
            <v>810139</v>
          </cell>
          <cell r="B99" t="str">
            <v>Pension, Retire,  ESOP (401k)</v>
          </cell>
          <cell r="C99" t="str">
            <v>Benefits</v>
          </cell>
        </row>
        <row r="100">
          <cell r="A100">
            <v>815179</v>
          </cell>
          <cell r="B100" t="str">
            <v>Other professional fees</v>
          </cell>
          <cell r="C100" t="str">
            <v>Consulting</v>
          </cell>
        </row>
        <row r="101">
          <cell r="A101">
            <v>820201</v>
          </cell>
          <cell r="B101" t="str">
            <v>Outside consultant services</v>
          </cell>
          <cell r="C101" t="str">
            <v>Consulting</v>
          </cell>
        </row>
        <row r="102">
          <cell r="A102">
            <v>820215</v>
          </cell>
          <cell r="B102" t="str">
            <v>External Management fees</v>
          </cell>
          <cell r="C102" t="str">
            <v>Management Fee Revenue</v>
          </cell>
        </row>
        <row r="103">
          <cell r="A103">
            <v>820217</v>
          </cell>
          <cell r="B103" t="str">
            <v>Information system feeinternal</v>
          </cell>
          <cell r="C103" t="str">
            <v>Data Processing</v>
          </cell>
        </row>
        <row r="104">
          <cell r="A104">
            <v>820241</v>
          </cell>
          <cell r="B104" t="str">
            <v>Interpretation fees</v>
          </cell>
          <cell r="C104" t="str">
            <v>Consulting</v>
          </cell>
        </row>
        <row r="105">
          <cell r="A105">
            <v>820243</v>
          </cell>
          <cell r="B105" t="str">
            <v>Data processing fees</v>
          </cell>
          <cell r="C105" t="str">
            <v>Data Processing</v>
          </cell>
        </row>
        <row r="106">
          <cell r="A106">
            <v>820251</v>
          </cell>
          <cell r="B106" t="str">
            <v>Other purchased services</v>
          </cell>
          <cell r="C106" t="str">
            <v>Purchased Services</v>
          </cell>
        </row>
        <row r="107">
          <cell r="A107">
            <v>820280</v>
          </cell>
          <cell r="B107" t="str">
            <v>Benefits Administration</v>
          </cell>
          <cell r="C107" t="str">
            <v>Benefits</v>
          </cell>
        </row>
        <row r="108">
          <cell r="A108">
            <v>820400</v>
          </cell>
          <cell r="B108" t="str">
            <v>Long Term Disability</v>
          </cell>
          <cell r="C108" t="str">
            <v>Benefits</v>
          </cell>
        </row>
        <row r="109">
          <cell r="A109">
            <v>820520</v>
          </cell>
          <cell r="B109" t="str">
            <v>Insurance - other</v>
          </cell>
          <cell r="C109" t="str">
            <v>Taxes and Insurance</v>
          </cell>
        </row>
        <row r="110">
          <cell r="A110">
            <v>825319</v>
          </cell>
          <cell r="B110" t="str">
            <v>Office &amp; Dept. Supplies</v>
          </cell>
          <cell r="C110" t="str">
            <v>Supplies</v>
          </cell>
        </row>
        <row r="111">
          <cell r="A111">
            <v>825383</v>
          </cell>
          <cell r="B111" t="str">
            <v>Vendor rebates</v>
          </cell>
          <cell r="C111" t="str">
            <v>Licenses and Fees</v>
          </cell>
        </row>
        <row r="112">
          <cell r="A112">
            <v>825395</v>
          </cell>
          <cell r="B112" t="str">
            <v>Discounts Lost</v>
          </cell>
          <cell r="C112" t="str">
            <v>Licenses and Fees</v>
          </cell>
        </row>
        <row r="113">
          <cell r="A113">
            <v>830431</v>
          </cell>
          <cell r="B113" t="str">
            <v>Utilities</v>
          </cell>
          <cell r="C113" t="str">
            <v>Rent</v>
          </cell>
        </row>
        <row r="114">
          <cell r="A114">
            <v>830433</v>
          </cell>
          <cell r="B114" t="str">
            <v>Telephone - local access</v>
          </cell>
          <cell r="C114" t="str">
            <v>Telephone</v>
          </cell>
        </row>
        <row r="115">
          <cell r="A115">
            <v>830434</v>
          </cell>
          <cell r="B115" t="str">
            <v>Telephone</v>
          </cell>
          <cell r="C115" t="str">
            <v>Telephone</v>
          </cell>
        </row>
        <row r="116">
          <cell r="A116">
            <v>830435</v>
          </cell>
          <cell r="B116" t="str">
            <v>Tel-long distance,leased lines</v>
          </cell>
          <cell r="C116" t="str">
            <v>Telephone</v>
          </cell>
        </row>
        <row r="117">
          <cell r="A117">
            <v>830437</v>
          </cell>
          <cell r="B117" t="str">
            <v>Cellular phones and pagers</v>
          </cell>
          <cell r="C117" t="str">
            <v>Telephone</v>
          </cell>
        </row>
        <row r="118">
          <cell r="A118">
            <v>835471</v>
          </cell>
          <cell r="B118" t="str">
            <v>Repairs - inhouse</v>
          </cell>
          <cell r="C118" t="str">
            <v>Repairs</v>
          </cell>
        </row>
        <row r="119">
          <cell r="A119">
            <v>840491</v>
          </cell>
          <cell r="B119" t="str">
            <v>Leases-non-specific-short-term</v>
          </cell>
          <cell r="C119" t="str">
            <v>Equipment Leases</v>
          </cell>
        </row>
        <row r="120">
          <cell r="A120">
            <v>840503</v>
          </cell>
          <cell r="B120" t="str">
            <v>Building Leases</v>
          </cell>
          <cell r="C120" t="str">
            <v>Equipment Leases</v>
          </cell>
        </row>
        <row r="121">
          <cell r="A121">
            <v>840515</v>
          </cell>
          <cell r="B121" t="str">
            <v>Record storage</v>
          </cell>
          <cell r="C121" t="str">
            <v>Storage</v>
          </cell>
        </row>
        <row r="122">
          <cell r="A122">
            <v>840523</v>
          </cell>
          <cell r="B122" t="str">
            <v>Rent expense - building</v>
          </cell>
          <cell r="C122" t="str">
            <v>Rent</v>
          </cell>
        </row>
        <row r="123">
          <cell r="A123">
            <v>845541</v>
          </cell>
          <cell r="B123" t="str">
            <v>Legal fees - Allowable</v>
          </cell>
          <cell r="C123" t="str">
            <v>Legal and Lobbying</v>
          </cell>
        </row>
        <row r="124">
          <cell r="A124">
            <v>845543</v>
          </cell>
          <cell r="B124" t="str">
            <v>Ernst &amp; Young audit fees</v>
          </cell>
          <cell r="C124" t="str">
            <v>Purchased Services</v>
          </cell>
        </row>
        <row r="125">
          <cell r="A125">
            <v>850001</v>
          </cell>
          <cell r="B125" t="str">
            <v>Direct media</v>
          </cell>
          <cell r="C125" t="str">
            <v>Advertising</v>
          </cell>
        </row>
        <row r="126">
          <cell r="A126">
            <v>850120</v>
          </cell>
          <cell r="B126" t="str">
            <v>Other Marketing Exp.</v>
          </cell>
          <cell r="C126" t="str">
            <v>Advertising</v>
          </cell>
        </row>
        <row r="127">
          <cell r="A127">
            <v>850280</v>
          </cell>
          <cell r="B127" t="str">
            <v>Community Education</v>
          </cell>
          <cell r="C127" t="str">
            <v>Forms</v>
          </cell>
        </row>
        <row r="128">
          <cell r="A128">
            <v>855571</v>
          </cell>
          <cell r="B128" t="str">
            <v>Postage</v>
          </cell>
          <cell r="C128" t="str">
            <v>Postage</v>
          </cell>
        </row>
        <row r="129">
          <cell r="A129">
            <v>855575</v>
          </cell>
          <cell r="B129" t="str">
            <v>Overnight delivery</v>
          </cell>
          <cell r="C129" t="str">
            <v>Postage</v>
          </cell>
        </row>
        <row r="130">
          <cell r="A130">
            <v>860587</v>
          </cell>
          <cell r="B130" t="str">
            <v>Travel and lodging</v>
          </cell>
          <cell r="C130" t="str">
            <v>Travel and Lodging</v>
          </cell>
        </row>
        <row r="131">
          <cell r="A131">
            <v>860589</v>
          </cell>
          <cell r="B131" t="str">
            <v>Airfare</v>
          </cell>
          <cell r="C131" t="str">
            <v>Travel and Lodging</v>
          </cell>
        </row>
        <row r="132">
          <cell r="A132">
            <v>860597</v>
          </cell>
          <cell r="B132" t="str">
            <v>Meetings and conferences</v>
          </cell>
          <cell r="C132" t="str">
            <v>Travel and Lodging</v>
          </cell>
        </row>
        <row r="133">
          <cell r="A133">
            <v>860603</v>
          </cell>
          <cell r="B133" t="str">
            <v>Business meals and entertain</v>
          </cell>
          <cell r="C133" t="str">
            <v>Meals and Entertainment</v>
          </cell>
        </row>
        <row r="134">
          <cell r="A134">
            <v>860605</v>
          </cell>
          <cell r="B134" t="str">
            <v>Business mileage</v>
          </cell>
          <cell r="C134" t="str">
            <v>Mileage Reimbursement</v>
          </cell>
        </row>
        <row r="135">
          <cell r="A135">
            <v>865621</v>
          </cell>
          <cell r="B135" t="str">
            <v>Subscriptions</v>
          </cell>
          <cell r="C135" t="str">
            <v>Dues and Subscriptions</v>
          </cell>
        </row>
        <row r="136">
          <cell r="A136">
            <v>865645</v>
          </cell>
          <cell r="B136" t="str">
            <v>Other dues</v>
          </cell>
          <cell r="C136" t="str">
            <v>Dues and Subscriptions</v>
          </cell>
        </row>
        <row r="137">
          <cell r="A137">
            <v>870657</v>
          </cell>
          <cell r="B137" t="str">
            <v>Professional development</v>
          </cell>
          <cell r="C137" t="str">
            <v>Outside Training</v>
          </cell>
        </row>
        <row r="138">
          <cell r="A138">
            <v>870659</v>
          </cell>
          <cell r="B138" t="str">
            <v>Employee recruit and advertise</v>
          </cell>
          <cell r="C138" t="str">
            <v>Personnel</v>
          </cell>
        </row>
        <row r="139">
          <cell r="A139">
            <v>870663</v>
          </cell>
          <cell r="B139" t="str">
            <v>Physician recruit - all other</v>
          </cell>
          <cell r="C139" t="str">
            <v>Consulting</v>
          </cell>
        </row>
        <row r="140">
          <cell r="A140">
            <v>870669</v>
          </cell>
          <cell r="B140" t="str">
            <v>Charitable contributions</v>
          </cell>
          <cell r="C140" t="str">
            <v>Contributions</v>
          </cell>
        </row>
        <row r="141">
          <cell r="A141">
            <v>870673</v>
          </cell>
          <cell r="B141" t="str">
            <v>Contributions</v>
          </cell>
          <cell r="C141" t="str">
            <v>Contributions</v>
          </cell>
        </row>
        <row r="142">
          <cell r="A142">
            <v>870679</v>
          </cell>
          <cell r="B142" t="str">
            <v>Lobbying expenses</v>
          </cell>
          <cell r="C142" t="str">
            <v>Legal and Lobbying</v>
          </cell>
        </row>
        <row r="143">
          <cell r="A143">
            <v>870683</v>
          </cell>
          <cell r="B143" t="str">
            <v>Bank service charges</v>
          </cell>
          <cell r="C143" t="str">
            <v>Licenses and Fees</v>
          </cell>
        </row>
        <row r="144">
          <cell r="A144">
            <v>870685</v>
          </cell>
          <cell r="B144" t="str">
            <v>Credit card service charge</v>
          </cell>
          <cell r="C144" t="str">
            <v>Licenses and Fees</v>
          </cell>
        </row>
        <row r="145">
          <cell r="A145">
            <v>870686</v>
          </cell>
          <cell r="B145" t="str">
            <v>Sanctions</v>
          </cell>
          <cell r="C145" t="str">
            <v>Licenses and Fees</v>
          </cell>
        </row>
        <row r="146">
          <cell r="A146">
            <v>870687</v>
          </cell>
          <cell r="B146" t="str">
            <v>Penalties</v>
          </cell>
          <cell r="C146" t="str">
            <v>Licenses and Fees</v>
          </cell>
        </row>
        <row r="147">
          <cell r="A147">
            <v>870697</v>
          </cell>
          <cell r="B147" t="str">
            <v>Licenses and permits</v>
          </cell>
          <cell r="C147" t="str">
            <v>Licenses and Fees</v>
          </cell>
        </row>
        <row r="148">
          <cell r="A148">
            <v>870715</v>
          </cell>
          <cell r="B148" t="str">
            <v>Other operating - misc</v>
          </cell>
          <cell r="C148" t="str">
            <v>Management Fees</v>
          </cell>
        </row>
        <row r="149">
          <cell r="A149">
            <v>870725</v>
          </cell>
          <cell r="B149" t="str">
            <v>Outside sem, training sessions</v>
          </cell>
          <cell r="C149" t="str">
            <v>Outside Training</v>
          </cell>
        </row>
        <row r="150">
          <cell r="A150">
            <v>870726</v>
          </cell>
          <cell r="B150" t="str">
            <v>Operatiions Mgmt Fee Expense</v>
          </cell>
          <cell r="C150" t="str">
            <v>Management Fees</v>
          </cell>
        </row>
        <row r="151">
          <cell r="A151">
            <v>872952</v>
          </cell>
          <cell r="B151" t="str">
            <v>Reinsurance Recovery-Expense</v>
          </cell>
          <cell r="C151" t="str">
            <v>Management Fees</v>
          </cell>
        </row>
        <row r="152">
          <cell r="A152">
            <v>875805</v>
          </cell>
          <cell r="B152" t="str">
            <v>General liability</v>
          </cell>
          <cell r="C152" t="str">
            <v>Taxes and Insurance</v>
          </cell>
        </row>
        <row r="153">
          <cell r="A153">
            <v>875807</v>
          </cell>
          <cell r="B153" t="str">
            <v>Other Ins - corporate plan</v>
          </cell>
          <cell r="C153" t="str">
            <v>Benefits</v>
          </cell>
        </row>
        <row r="154">
          <cell r="A154">
            <v>875823</v>
          </cell>
          <cell r="B154" t="str">
            <v>Other</v>
          </cell>
          <cell r="C154" t="str">
            <v>Taxes and Insurance</v>
          </cell>
        </row>
        <row r="155">
          <cell r="A155">
            <v>890001</v>
          </cell>
          <cell r="B155" t="str">
            <v>Property Taxes</v>
          </cell>
          <cell r="C155" t="str">
            <v>Taxes and Insurance</v>
          </cell>
        </row>
        <row r="156">
          <cell r="A156">
            <v>890120</v>
          </cell>
          <cell r="B156" t="str">
            <v>Licenses and permits</v>
          </cell>
          <cell r="C156" t="str">
            <v>Licenses and Fees</v>
          </cell>
        </row>
        <row r="157">
          <cell r="A157">
            <v>890160</v>
          </cell>
          <cell r="B157" t="str">
            <v>Other Taxes</v>
          </cell>
          <cell r="C157" t="str">
            <v>Licenses and Fees</v>
          </cell>
        </row>
        <row r="158">
          <cell r="A158">
            <v>890300</v>
          </cell>
          <cell r="B158" t="str">
            <v>Premium Taxes</v>
          </cell>
          <cell r="C158" t="str">
            <v>Licenses and Fees</v>
          </cell>
        </row>
        <row r="159">
          <cell r="A159">
            <v>900400</v>
          </cell>
          <cell r="B159" t="str">
            <v>Major movable equip - 4 years</v>
          </cell>
          <cell r="C159" t="str">
            <v>Depreciation &amp; Amortization</v>
          </cell>
        </row>
        <row r="160">
          <cell r="A160">
            <v>930001</v>
          </cell>
          <cell r="B160" t="str">
            <v>Admin - Mgmt Fees</v>
          </cell>
          <cell r="C160" t="str">
            <v>Management Fees</v>
          </cell>
        </row>
        <row r="161">
          <cell r="A161">
            <v>960001</v>
          </cell>
          <cell r="B161" t="str">
            <v>Federal income tax</v>
          </cell>
          <cell r="C161" t="str">
            <v>Income Tax Benefit / (Expense)</v>
          </cell>
        </row>
        <row r="162">
          <cell r="A162">
            <v>0</v>
          </cell>
          <cell r="B162">
            <v>0</v>
          </cell>
        </row>
      </sheetData>
      <sheetData sheetId="4">
        <row r="1">
          <cell r="A1" t="str">
            <v>Dept</v>
          </cell>
          <cell r="B1" t="str">
            <v>Department Name</v>
          </cell>
          <cell r="C1" t="str">
            <v>Company</v>
          </cell>
        </row>
        <row r="2">
          <cell r="A2">
            <v>8020</v>
          </cell>
          <cell r="B2" t="str">
            <v>Administration</v>
          </cell>
          <cell r="C2" t="str">
            <v>Management Company</v>
          </cell>
        </row>
        <row r="3">
          <cell r="A3">
            <v>8160</v>
          </cell>
          <cell r="B3" t="str">
            <v>Administration</v>
          </cell>
          <cell r="C3" t="str">
            <v>Management Company</v>
          </cell>
        </row>
        <row r="4">
          <cell r="A4">
            <v>8161</v>
          </cell>
          <cell r="B4" t="str">
            <v>Administration</v>
          </cell>
          <cell r="C4" t="str">
            <v>Health Choice Arizona</v>
          </cell>
        </row>
        <row r="5">
          <cell r="A5">
            <v>8162</v>
          </cell>
          <cell r="B5" t="str">
            <v>Administration</v>
          </cell>
          <cell r="C5" t="str">
            <v>Health Choice Generations</v>
          </cell>
        </row>
        <row r="6">
          <cell r="A6">
            <v>8163</v>
          </cell>
          <cell r="B6" t="str">
            <v>Administration</v>
          </cell>
          <cell r="C6" t="str">
            <v>Health Choice Utah</v>
          </cell>
        </row>
        <row r="7">
          <cell r="A7">
            <v>8164</v>
          </cell>
          <cell r="B7" t="str">
            <v>Administration</v>
          </cell>
          <cell r="C7" t="str">
            <v>Health Choice Preferred</v>
          </cell>
        </row>
        <row r="8">
          <cell r="A8">
            <v>8165</v>
          </cell>
          <cell r="B8" t="str">
            <v>Administration</v>
          </cell>
          <cell r="C8" t="str">
            <v>Health Choice Insurance Company (HIX)</v>
          </cell>
        </row>
        <row r="9">
          <cell r="A9">
            <v>8166</v>
          </cell>
          <cell r="B9" t="str">
            <v>Administration</v>
          </cell>
          <cell r="C9" t="str">
            <v>Business Development</v>
          </cell>
        </row>
        <row r="10">
          <cell r="A10">
            <v>8167</v>
          </cell>
          <cell r="B10" t="str">
            <v>Administration</v>
          </cell>
          <cell r="C10" t="str">
            <v>Health Choice Preferred Network</v>
          </cell>
        </row>
        <row r="11">
          <cell r="A11">
            <v>8168</v>
          </cell>
          <cell r="B11" t="str">
            <v>Administration</v>
          </cell>
          <cell r="C11" t="str">
            <v>Health Choice Preferred Network Utah</v>
          </cell>
        </row>
        <row r="12">
          <cell r="A12">
            <v>8169</v>
          </cell>
          <cell r="B12" t="str">
            <v>Administration</v>
          </cell>
          <cell r="C12" t="str">
            <v>Health Choice Florida</v>
          </cell>
        </row>
        <row r="13">
          <cell r="A13">
            <v>8170</v>
          </cell>
          <cell r="B13" t="str">
            <v>Human Resources</v>
          </cell>
          <cell r="C13" t="str">
            <v>Management Company</v>
          </cell>
        </row>
        <row r="14">
          <cell r="A14">
            <v>8171</v>
          </cell>
          <cell r="B14" t="str">
            <v>Human Resources</v>
          </cell>
          <cell r="C14" t="str">
            <v>Health Choice Arizona</v>
          </cell>
        </row>
        <row r="15">
          <cell r="A15">
            <v>8172</v>
          </cell>
          <cell r="B15" t="str">
            <v>Human Resources</v>
          </cell>
          <cell r="C15" t="str">
            <v>Health Choice Generations</v>
          </cell>
        </row>
        <row r="16">
          <cell r="A16">
            <v>8173</v>
          </cell>
          <cell r="B16" t="str">
            <v>Human Resources</v>
          </cell>
          <cell r="C16" t="str">
            <v>Health Choice Utah</v>
          </cell>
        </row>
        <row r="17">
          <cell r="A17">
            <v>8174</v>
          </cell>
          <cell r="B17" t="str">
            <v>Human Resources</v>
          </cell>
          <cell r="C17" t="str">
            <v>Health Choice Preferred</v>
          </cell>
        </row>
        <row r="18">
          <cell r="A18">
            <v>8175</v>
          </cell>
          <cell r="B18" t="str">
            <v>Human Resources</v>
          </cell>
          <cell r="C18" t="str">
            <v>Health Choice Insurance Company (HIX)</v>
          </cell>
        </row>
        <row r="19">
          <cell r="A19">
            <v>8176</v>
          </cell>
          <cell r="B19" t="str">
            <v>Human Resources</v>
          </cell>
          <cell r="C19" t="str">
            <v>Business Development</v>
          </cell>
        </row>
        <row r="20">
          <cell r="A20">
            <v>8177</v>
          </cell>
          <cell r="B20" t="str">
            <v>Human Resources</v>
          </cell>
          <cell r="C20" t="str">
            <v>Health Choice Preferred Network</v>
          </cell>
        </row>
        <row r="21">
          <cell r="A21">
            <v>8178</v>
          </cell>
          <cell r="B21" t="str">
            <v>Human Resources</v>
          </cell>
          <cell r="C21" t="str">
            <v>Health Choice Preferred Network Utah</v>
          </cell>
        </row>
        <row r="22">
          <cell r="A22">
            <v>8179</v>
          </cell>
          <cell r="B22" t="str">
            <v>Human Resources</v>
          </cell>
          <cell r="C22" t="str">
            <v>Health Choice Florida</v>
          </cell>
        </row>
        <row r="23">
          <cell r="A23">
            <v>8313</v>
          </cell>
          <cell r="B23" t="str">
            <v>Employee Benefits</v>
          </cell>
          <cell r="C23" t="str">
            <v>Management Company</v>
          </cell>
        </row>
        <row r="24">
          <cell r="A24">
            <v>8370</v>
          </cell>
          <cell r="B24" t="str">
            <v>Marketing</v>
          </cell>
          <cell r="C24" t="str">
            <v>Management Company</v>
          </cell>
        </row>
        <row r="25">
          <cell r="A25">
            <v>8500</v>
          </cell>
          <cell r="B25" t="str">
            <v>Non Operating Expenses</v>
          </cell>
          <cell r="C25" t="str">
            <v>Management Company</v>
          </cell>
        </row>
        <row r="26">
          <cell r="A26">
            <v>8510</v>
          </cell>
          <cell r="B26" t="str">
            <v>Work Room</v>
          </cell>
          <cell r="C26" t="str">
            <v>Management Company</v>
          </cell>
        </row>
        <row r="27">
          <cell r="A27">
            <v>8511</v>
          </cell>
          <cell r="B27" t="str">
            <v>Work Room</v>
          </cell>
          <cell r="C27" t="str">
            <v>Health Choice Arizona</v>
          </cell>
        </row>
        <row r="28">
          <cell r="A28">
            <v>8512</v>
          </cell>
          <cell r="B28" t="str">
            <v>Work Room</v>
          </cell>
          <cell r="C28" t="str">
            <v>Health Choice Generations</v>
          </cell>
        </row>
        <row r="29">
          <cell r="A29">
            <v>8513</v>
          </cell>
          <cell r="B29" t="str">
            <v>Work Room</v>
          </cell>
          <cell r="C29" t="str">
            <v>Health Choice Utah</v>
          </cell>
        </row>
        <row r="30">
          <cell r="A30">
            <v>8514</v>
          </cell>
          <cell r="B30" t="str">
            <v>Work Room</v>
          </cell>
          <cell r="C30" t="str">
            <v>Health Choice Preferred</v>
          </cell>
        </row>
        <row r="31">
          <cell r="A31">
            <v>8515</v>
          </cell>
          <cell r="B31" t="str">
            <v>Work Room</v>
          </cell>
          <cell r="C31" t="str">
            <v>Health Choice Insurance Company (HIX)</v>
          </cell>
        </row>
        <row r="32">
          <cell r="A32">
            <v>8516</v>
          </cell>
          <cell r="B32" t="str">
            <v>Work Room</v>
          </cell>
          <cell r="C32" t="str">
            <v>Business Development</v>
          </cell>
        </row>
        <row r="33">
          <cell r="A33">
            <v>8517</v>
          </cell>
          <cell r="B33" t="str">
            <v>Work Room</v>
          </cell>
          <cell r="C33" t="str">
            <v>Health Choice Preferred Network</v>
          </cell>
        </row>
        <row r="34">
          <cell r="A34">
            <v>8518</v>
          </cell>
          <cell r="B34" t="str">
            <v>Work Room</v>
          </cell>
          <cell r="C34" t="str">
            <v>Health Choice Preferred Network Utah</v>
          </cell>
        </row>
        <row r="35">
          <cell r="A35">
            <v>8519</v>
          </cell>
          <cell r="B35" t="str">
            <v>Work Room</v>
          </cell>
          <cell r="C35" t="str">
            <v>Health Choice Florida</v>
          </cell>
        </row>
        <row r="36">
          <cell r="A36">
            <v>8520</v>
          </cell>
          <cell r="B36" t="str">
            <v>Network</v>
          </cell>
          <cell r="C36" t="str">
            <v>Management Company</v>
          </cell>
        </row>
        <row r="37">
          <cell r="A37">
            <v>8521</v>
          </cell>
          <cell r="B37" t="str">
            <v>Network</v>
          </cell>
          <cell r="C37" t="str">
            <v>Health Choice Arizona</v>
          </cell>
        </row>
        <row r="38">
          <cell r="A38">
            <v>8522</v>
          </cell>
          <cell r="B38" t="str">
            <v>Network</v>
          </cell>
          <cell r="C38" t="str">
            <v>Health Choice Generations</v>
          </cell>
        </row>
        <row r="39">
          <cell r="A39">
            <v>8523</v>
          </cell>
          <cell r="B39" t="str">
            <v>Network</v>
          </cell>
          <cell r="C39" t="str">
            <v>Health Choice Utah</v>
          </cell>
        </row>
        <row r="40">
          <cell r="A40">
            <v>8524</v>
          </cell>
          <cell r="B40" t="str">
            <v>Network</v>
          </cell>
          <cell r="C40" t="str">
            <v>Health Choice Preferred</v>
          </cell>
        </row>
        <row r="41">
          <cell r="A41">
            <v>8525</v>
          </cell>
          <cell r="B41" t="str">
            <v>Network</v>
          </cell>
          <cell r="C41" t="str">
            <v>Health Choice Insurance Company (HIX)</v>
          </cell>
        </row>
        <row r="42">
          <cell r="A42">
            <v>8526</v>
          </cell>
          <cell r="B42" t="str">
            <v>Network</v>
          </cell>
          <cell r="C42" t="str">
            <v>Business Development</v>
          </cell>
        </row>
        <row r="43">
          <cell r="A43">
            <v>8527</v>
          </cell>
          <cell r="B43" t="str">
            <v>Network</v>
          </cell>
          <cell r="C43" t="str">
            <v>Health Choice Preferred Network</v>
          </cell>
        </row>
        <row r="44">
          <cell r="A44">
            <v>8528</v>
          </cell>
          <cell r="B44" t="str">
            <v>Network</v>
          </cell>
          <cell r="C44" t="str">
            <v>Health Choice Preferred Network Utah</v>
          </cell>
        </row>
        <row r="45">
          <cell r="A45">
            <v>8529</v>
          </cell>
          <cell r="B45" t="str">
            <v>Network</v>
          </cell>
          <cell r="C45" t="str">
            <v>Health Choice Florida</v>
          </cell>
        </row>
        <row r="46">
          <cell r="A46">
            <v>8530</v>
          </cell>
          <cell r="B46" t="str">
            <v>Information Systems</v>
          </cell>
          <cell r="C46" t="str">
            <v>Management Company</v>
          </cell>
        </row>
        <row r="47">
          <cell r="A47">
            <v>8531</v>
          </cell>
          <cell r="B47" t="str">
            <v>Information Systems</v>
          </cell>
          <cell r="C47" t="str">
            <v>Health Choice Arizona</v>
          </cell>
        </row>
        <row r="48">
          <cell r="A48">
            <v>8532</v>
          </cell>
          <cell r="B48" t="str">
            <v>Information Systems</v>
          </cell>
          <cell r="C48" t="str">
            <v>Health Choice Generations</v>
          </cell>
        </row>
        <row r="49">
          <cell r="A49">
            <v>8533</v>
          </cell>
          <cell r="B49" t="str">
            <v>Information Systems</v>
          </cell>
          <cell r="C49" t="str">
            <v>Health Choice Utah</v>
          </cell>
        </row>
        <row r="50">
          <cell r="A50">
            <v>8534</v>
          </cell>
          <cell r="B50" t="str">
            <v>Information Systems</v>
          </cell>
          <cell r="C50" t="str">
            <v>Health Choice Preferred</v>
          </cell>
        </row>
        <row r="51">
          <cell r="A51">
            <v>8535</v>
          </cell>
          <cell r="B51" t="str">
            <v>Information Systems</v>
          </cell>
          <cell r="C51" t="str">
            <v>Health Choice Insurance Company (HIX)</v>
          </cell>
        </row>
        <row r="52">
          <cell r="A52">
            <v>8536</v>
          </cell>
          <cell r="B52" t="str">
            <v>Information Systems</v>
          </cell>
          <cell r="C52" t="str">
            <v>Business Development</v>
          </cell>
        </row>
        <row r="53">
          <cell r="A53">
            <v>8537</v>
          </cell>
          <cell r="B53" t="str">
            <v>Information Systems</v>
          </cell>
          <cell r="C53" t="str">
            <v>Health Choice Preferred Network</v>
          </cell>
        </row>
        <row r="54">
          <cell r="A54">
            <v>8538</v>
          </cell>
          <cell r="B54" t="str">
            <v>Information Systems</v>
          </cell>
          <cell r="C54" t="str">
            <v>Health Choice Preferred Network Utah</v>
          </cell>
        </row>
        <row r="55">
          <cell r="A55">
            <v>8539</v>
          </cell>
          <cell r="B55" t="str">
            <v>Information Systems</v>
          </cell>
          <cell r="C55" t="str">
            <v>Health Choice Florida</v>
          </cell>
        </row>
        <row r="56">
          <cell r="A56">
            <v>8550</v>
          </cell>
          <cell r="B56" t="str">
            <v>Project Management</v>
          </cell>
          <cell r="C56" t="str">
            <v>Management Company</v>
          </cell>
        </row>
        <row r="57">
          <cell r="A57">
            <v>8551</v>
          </cell>
          <cell r="B57" t="str">
            <v>Project Management</v>
          </cell>
          <cell r="C57" t="str">
            <v>Health Choice Arizona</v>
          </cell>
        </row>
        <row r="58">
          <cell r="A58">
            <v>8552</v>
          </cell>
          <cell r="B58" t="str">
            <v>Project Management</v>
          </cell>
          <cell r="C58" t="str">
            <v>Health Choice Generations</v>
          </cell>
        </row>
        <row r="59">
          <cell r="A59">
            <v>8553</v>
          </cell>
          <cell r="B59" t="str">
            <v>Project Management</v>
          </cell>
          <cell r="C59" t="str">
            <v>Health Choice Utah</v>
          </cell>
        </row>
        <row r="60">
          <cell r="A60">
            <v>8554</v>
          </cell>
          <cell r="B60" t="str">
            <v>Project Management</v>
          </cell>
          <cell r="C60" t="str">
            <v>Health Choice Preferred</v>
          </cell>
        </row>
        <row r="61">
          <cell r="A61">
            <v>8555</v>
          </cell>
          <cell r="B61" t="str">
            <v>Project Management</v>
          </cell>
          <cell r="C61" t="str">
            <v>Health Choice Insurance Company (HIX)</v>
          </cell>
        </row>
        <row r="62">
          <cell r="A62">
            <v>8556</v>
          </cell>
          <cell r="B62" t="str">
            <v>Project Management</v>
          </cell>
          <cell r="C62" t="str">
            <v>Business Development</v>
          </cell>
        </row>
        <row r="63">
          <cell r="A63">
            <v>8557</v>
          </cell>
          <cell r="B63" t="str">
            <v>Project Management</v>
          </cell>
          <cell r="C63" t="str">
            <v>Health Choice Preferred Network</v>
          </cell>
        </row>
        <row r="64">
          <cell r="A64">
            <v>8558</v>
          </cell>
          <cell r="B64" t="str">
            <v>Project Management</v>
          </cell>
          <cell r="C64" t="str">
            <v>Health Choice Preferred Network Utah</v>
          </cell>
        </row>
        <row r="65">
          <cell r="A65">
            <v>8559</v>
          </cell>
          <cell r="B65" t="str">
            <v>Project Management</v>
          </cell>
          <cell r="C65" t="str">
            <v>Health Choice Florida</v>
          </cell>
        </row>
        <row r="66">
          <cell r="A66">
            <v>8590</v>
          </cell>
          <cell r="B66" t="str">
            <v>Member Services</v>
          </cell>
          <cell r="C66" t="str">
            <v>Management Company</v>
          </cell>
        </row>
        <row r="67">
          <cell r="A67">
            <v>8591</v>
          </cell>
          <cell r="B67" t="str">
            <v>Member Services</v>
          </cell>
          <cell r="C67" t="str">
            <v>Health Choice Arizona</v>
          </cell>
        </row>
        <row r="68">
          <cell r="A68">
            <v>8592</v>
          </cell>
          <cell r="B68" t="str">
            <v>Member Services</v>
          </cell>
          <cell r="C68" t="str">
            <v>Health Choice Generations</v>
          </cell>
        </row>
        <row r="69">
          <cell r="A69">
            <v>8593</v>
          </cell>
          <cell r="B69" t="str">
            <v>Member Services</v>
          </cell>
          <cell r="C69" t="str">
            <v>Health Choice Utah</v>
          </cell>
        </row>
        <row r="70">
          <cell r="A70">
            <v>8594</v>
          </cell>
          <cell r="B70" t="str">
            <v>Member Services</v>
          </cell>
          <cell r="C70" t="str">
            <v>Health Choice Preferred</v>
          </cell>
        </row>
        <row r="71">
          <cell r="A71">
            <v>8595</v>
          </cell>
          <cell r="B71" t="str">
            <v>Member Services</v>
          </cell>
          <cell r="C71" t="str">
            <v>Health Choice Insurance Company (HIX)</v>
          </cell>
        </row>
        <row r="72">
          <cell r="A72">
            <v>8596</v>
          </cell>
          <cell r="B72" t="str">
            <v>Member Services</v>
          </cell>
          <cell r="C72" t="str">
            <v>Business Development</v>
          </cell>
        </row>
        <row r="73">
          <cell r="A73">
            <v>8597</v>
          </cell>
          <cell r="B73" t="str">
            <v>Member Services</v>
          </cell>
          <cell r="C73" t="str">
            <v>Health Choice Preferred Network</v>
          </cell>
        </row>
        <row r="74">
          <cell r="A74">
            <v>8598</v>
          </cell>
          <cell r="B74" t="str">
            <v>Member Services</v>
          </cell>
          <cell r="C74" t="str">
            <v>Health Choice Preferred Network Utah</v>
          </cell>
        </row>
        <row r="75">
          <cell r="A75">
            <v>8599</v>
          </cell>
          <cell r="B75" t="str">
            <v>Member Services</v>
          </cell>
          <cell r="C75" t="str">
            <v>Health Choice Florida</v>
          </cell>
        </row>
        <row r="76">
          <cell r="A76">
            <v>8600</v>
          </cell>
          <cell r="B76" t="str">
            <v>Compliance</v>
          </cell>
          <cell r="C76" t="str">
            <v>Management Company</v>
          </cell>
        </row>
        <row r="77">
          <cell r="A77">
            <v>8601</v>
          </cell>
          <cell r="B77" t="str">
            <v>Compliance</v>
          </cell>
          <cell r="C77" t="str">
            <v>Health Choice Arizona</v>
          </cell>
        </row>
        <row r="78">
          <cell r="A78">
            <v>8602</v>
          </cell>
          <cell r="B78" t="str">
            <v>Compliance</v>
          </cell>
          <cell r="C78" t="str">
            <v>Health Choice Generations</v>
          </cell>
        </row>
        <row r="79">
          <cell r="A79">
            <v>8603</v>
          </cell>
          <cell r="B79" t="str">
            <v>Compliance</v>
          </cell>
          <cell r="C79" t="str">
            <v>Health Choice Utah</v>
          </cell>
        </row>
        <row r="80">
          <cell r="A80">
            <v>8604</v>
          </cell>
          <cell r="B80" t="str">
            <v>Compliance</v>
          </cell>
          <cell r="C80" t="str">
            <v>Health Choice Preferred</v>
          </cell>
        </row>
        <row r="81">
          <cell r="A81">
            <v>8605</v>
          </cell>
          <cell r="B81" t="str">
            <v>Compliance</v>
          </cell>
          <cell r="C81" t="str">
            <v>Health Choice Insurance Company (HIX)</v>
          </cell>
        </row>
        <row r="82">
          <cell r="A82">
            <v>8606</v>
          </cell>
          <cell r="B82" t="str">
            <v>Compliance</v>
          </cell>
          <cell r="C82" t="str">
            <v>Business Development</v>
          </cell>
        </row>
        <row r="83">
          <cell r="A83">
            <v>8607</v>
          </cell>
          <cell r="B83" t="str">
            <v>Compliance</v>
          </cell>
          <cell r="C83" t="str">
            <v>Health Choice Preferred Network</v>
          </cell>
        </row>
        <row r="84">
          <cell r="A84">
            <v>8608</v>
          </cell>
          <cell r="B84" t="str">
            <v>Compliance</v>
          </cell>
          <cell r="C84" t="str">
            <v>Health Choice Preferred Network Utah</v>
          </cell>
        </row>
        <row r="85">
          <cell r="A85">
            <v>8609</v>
          </cell>
          <cell r="B85" t="str">
            <v>Compliance</v>
          </cell>
          <cell r="C85" t="str">
            <v>Health Choice Florida</v>
          </cell>
        </row>
        <row r="86">
          <cell r="A86">
            <v>8610</v>
          </cell>
          <cell r="B86" t="str">
            <v>Marketing</v>
          </cell>
          <cell r="C86" t="str">
            <v>Management Company</v>
          </cell>
        </row>
        <row r="87">
          <cell r="A87">
            <v>8611</v>
          </cell>
          <cell r="B87" t="str">
            <v>Marketing</v>
          </cell>
          <cell r="C87" t="str">
            <v>Health Choice Arizona</v>
          </cell>
        </row>
        <row r="88">
          <cell r="A88">
            <v>8612</v>
          </cell>
          <cell r="B88" t="str">
            <v>Marketing</v>
          </cell>
          <cell r="C88" t="str">
            <v>Health Choice Generations</v>
          </cell>
        </row>
        <row r="89">
          <cell r="A89">
            <v>8613</v>
          </cell>
          <cell r="B89" t="str">
            <v>Marketing</v>
          </cell>
          <cell r="C89" t="str">
            <v>Health Choice Utah</v>
          </cell>
        </row>
        <row r="90">
          <cell r="A90">
            <v>8614</v>
          </cell>
          <cell r="B90" t="str">
            <v>Marketing</v>
          </cell>
          <cell r="C90" t="str">
            <v>Health Choice Preferred</v>
          </cell>
        </row>
        <row r="91">
          <cell r="A91">
            <v>8615</v>
          </cell>
          <cell r="B91" t="str">
            <v>Marketing</v>
          </cell>
          <cell r="C91" t="str">
            <v>Health Choice Insurance Company (HIX)</v>
          </cell>
        </row>
        <row r="92">
          <cell r="A92">
            <v>8616</v>
          </cell>
          <cell r="B92" t="str">
            <v>Marketing</v>
          </cell>
          <cell r="C92" t="str">
            <v>Business Development</v>
          </cell>
        </row>
        <row r="93">
          <cell r="A93">
            <v>8617</v>
          </cell>
          <cell r="B93" t="str">
            <v>Marketing</v>
          </cell>
          <cell r="C93" t="str">
            <v>Health Choice Preferred Network</v>
          </cell>
        </row>
        <row r="94">
          <cell r="A94">
            <v>8618</v>
          </cell>
          <cell r="B94" t="str">
            <v>Marketing</v>
          </cell>
          <cell r="C94" t="str">
            <v>Health Choice Preferred Network Utah</v>
          </cell>
        </row>
        <row r="95">
          <cell r="A95">
            <v>8619</v>
          </cell>
          <cell r="B95" t="str">
            <v>Marketing</v>
          </cell>
          <cell r="C95" t="str">
            <v>Health Choice Florida</v>
          </cell>
        </row>
        <row r="96">
          <cell r="A96">
            <v>8630</v>
          </cell>
          <cell r="B96" t="str">
            <v>Claims</v>
          </cell>
          <cell r="C96" t="str">
            <v>Management Company</v>
          </cell>
        </row>
        <row r="97">
          <cell r="A97">
            <v>8631</v>
          </cell>
          <cell r="B97" t="str">
            <v>Claims</v>
          </cell>
          <cell r="C97" t="str">
            <v>Health Choice Arizona</v>
          </cell>
        </row>
        <row r="98">
          <cell r="A98">
            <v>8632</v>
          </cell>
          <cell r="B98" t="str">
            <v>Claims</v>
          </cell>
          <cell r="C98" t="str">
            <v>Health Choice Generations</v>
          </cell>
        </row>
        <row r="99">
          <cell r="A99">
            <v>8633</v>
          </cell>
          <cell r="B99" t="str">
            <v>Claims</v>
          </cell>
          <cell r="C99" t="str">
            <v>Health Choice Utah</v>
          </cell>
        </row>
        <row r="100">
          <cell r="A100">
            <v>8634</v>
          </cell>
          <cell r="B100" t="str">
            <v>Claims</v>
          </cell>
          <cell r="C100" t="str">
            <v>Health Choice Preferred</v>
          </cell>
        </row>
        <row r="101">
          <cell r="A101">
            <v>8635</v>
          </cell>
          <cell r="B101" t="str">
            <v>Claims</v>
          </cell>
          <cell r="C101" t="str">
            <v>Health Choice Insurance Company (HIX)</v>
          </cell>
        </row>
        <row r="102">
          <cell r="A102">
            <v>8636</v>
          </cell>
          <cell r="B102" t="str">
            <v>Claims</v>
          </cell>
          <cell r="C102" t="str">
            <v>Business Development</v>
          </cell>
        </row>
        <row r="103">
          <cell r="A103">
            <v>8637</v>
          </cell>
          <cell r="B103" t="str">
            <v>Claims</v>
          </cell>
          <cell r="C103" t="str">
            <v>Health Choice Preferred Network</v>
          </cell>
        </row>
        <row r="104">
          <cell r="A104">
            <v>8638</v>
          </cell>
          <cell r="B104" t="str">
            <v>Claims</v>
          </cell>
          <cell r="C104" t="str">
            <v>Health Choice Preferred Network Utah</v>
          </cell>
        </row>
        <row r="105">
          <cell r="A105">
            <v>8639</v>
          </cell>
          <cell r="B105" t="str">
            <v>Claims</v>
          </cell>
          <cell r="C105" t="str">
            <v>Health Choice Florida</v>
          </cell>
        </row>
        <row r="106">
          <cell r="A106">
            <v>8810</v>
          </cell>
          <cell r="B106" t="str">
            <v>Medical Services - Management</v>
          </cell>
          <cell r="C106" t="str">
            <v>Management Company</v>
          </cell>
        </row>
        <row r="107">
          <cell r="A107">
            <v>8811</v>
          </cell>
          <cell r="B107" t="str">
            <v>Medical Services - Management</v>
          </cell>
          <cell r="C107" t="str">
            <v>Health Choice Arizona</v>
          </cell>
        </row>
        <row r="108">
          <cell r="A108">
            <v>8812</v>
          </cell>
          <cell r="B108" t="str">
            <v>Medical Services - Management</v>
          </cell>
          <cell r="C108" t="str">
            <v>Health Choice Generations</v>
          </cell>
        </row>
        <row r="109">
          <cell r="A109">
            <v>8813</v>
          </cell>
          <cell r="B109" t="str">
            <v>Medical Services - Management</v>
          </cell>
          <cell r="C109" t="str">
            <v>Health Choice Utah</v>
          </cell>
        </row>
        <row r="110">
          <cell r="A110">
            <v>8814</v>
          </cell>
          <cell r="B110" t="str">
            <v>Medical Services - Management</v>
          </cell>
          <cell r="C110" t="str">
            <v>Health Choice Preferred</v>
          </cell>
        </row>
        <row r="111">
          <cell r="A111">
            <v>8815</v>
          </cell>
          <cell r="B111" t="str">
            <v>Medical Services - Management</v>
          </cell>
          <cell r="C111" t="str">
            <v>Health Choice Insurance Company (HIX)</v>
          </cell>
        </row>
        <row r="112">
          <cell r="A112">
            <v>8816</v>
          </cell>
          <cell r="B112" t="str">
            <v>Medical Services - Management</v>
          </cell>
          <cell r="C112" t="str">
            <v>Business Development</v>
          </cell>
        </row>
        <row r="113">
          <cell r="A113">
            <v>8817</v>
          </cell>
          <cell r="B113" t="str">
            <v>Medical Services - Management</v>
          </cell>
          <cell r="C113" t="str">
            <v>Health Choice Preferred Network</v>
          </cell>
        </row>
        <row r="114">
          <cell r="A114">
            <v>8818</v>
          </cell>
          <cell r="B114" t="str">
            <v>Medical Services - Management</v>
          </cell>
          <cell r="C114" t="str">
            <v>Health Choice Preferred Network Utah</v>
          </cell>
        </row>
        <row r="115">
          <cell r="A115">
            <v>8819</v>
          </cell>
          <cell r="B115" t="str">
            <v>Medical Services - Management</v>
          </cell>
          <cell r="C115" t="str">
            <v>Health Choice Florida</v>
          </cell>
        </row>
        <row r="116">
          <cell r="A116">
            <v>8820</v>
          </cell>
          <cell r="B116" t="str">
            <v>Medical Services - Case Mgmt &amp; TOC</v>
          </cell>
          <cell r="C116" t="str">
            <v>Management Company</v>
          </cell>
        </row>
        <row r="117">
          <cell r="A117">
            <v>8821</v>
          </cell>
          <cell r="B117" t="str">
            <v>Medical Services - Case Mgmt &amp; TOC</v>
          </cell>
          <cell r="C117" t="str">
            <v>Health Choice Arizona</v>
          </cell>
        </row>
        <row r="118">
          <cell r="A118">
            <v>8822</v>
          </cell>
          <cell r="B118" t="str">
            <v>Medical Services - Case Mgmt &amp; TOC</v>
          </cell>
          <cell r="C118" t="str">
            <v>Health Choice Generations</v>
          </cell>
        </row>
        <row r="119">
          <cell r="A119">
            <v>8823</v>
          </cell>
          <cell r="B119" t="str">
            <v>Medical Services - Case Mgmt &amp; TOC</v>
          </cell>
          <cell r="C119" t="str">
            <v>Health Choice Utah</v>
          </cell>
        </row>
        <row r="120">
          <cell r="A120">
            <v>8824</v>
          </cell>
          <cell r="B120" t="str">
            <v>Medical Services - Case Mgmt &amp; TOC</v>
          </cell>
          <cell r="C120" t="str">
            <v>Health Choice Preferred</v>
          </cell>
        </row>
        <row r="121">
          <cell r="A121">
            <v>8825</v>
          </cell>
          <cell r="B121" t="str">
            <v>Medical Services - Case Mgmt &amp; TOC</v>
          </cell>
          <cell r="C121" t="str">
            <v>Health Choice Insurance Company (HIX)</v>
          </cell>
        </row>
        <row r="122">
          <cell r="A122">
            <v>8826</v>
          </cell>
          <cell r="B122" t="str">
            <v>Medical Services - Case Mgmt &amp; TOC</v>
          </cell>
          <cell r="C122" t="str">
            <v>Business Development</v>
          </cell>
        </row>
        <row r="123">
          <cell r="A123">
            <v>8827</v>
          </cell>
          <cell r="B123" t="str">
            <v>Medical Services - Case Mgmt &amp; TOC</v>
          </cell>
          <cell r="C123" t="str">
            <v>Health Choice Preferred Network</v>
          </cell>
        </row>
        <row r="124">
          <cell r="A124">
            <v>8828</v>
          </cell>
          <cell r="B124" t="str">
            <v>Medical Services - Case Mgmt &amp; TOC</v>
          </cell>
          <cell r="C124" t="str">
            <v>Health Choice Preferred Network Utah</v>
          </cell>
        </row>
        <row r="125">
          <cell r="A125">
            <v>8829</v>
          </cell>
          <cell r="B125" t="str">
            <v>Medical Services - Case Mgmt &amp; TOC</v>
          </cell>
          <cell r="C125" t="str">
            <v>Health Choice Florida</v>
          </cell>
        </row>
        <row r="126">
          <cell r="A126">
            <v>8830</v>
          </cell>
          <cell r="B126" t="str">
            <v>Medical Services - Maternal &amp; EPSDT</v>
          </cell>
          <cell r="C126" t="str">
            <v>Management Company</v>
          </cell>
        </row>
        <row r="127">
          <cell r="A127">
            <v>8831</v>
          </cell>
          <cell r="B127" t="str">
            <v>Medical Services - Maternal &amp; EPSDT</v>
          </cell>
          <cell r="C127" t="str">
            <v>Health Choice Arizona</v>
          </cell>
        </row>
        <row r="128">
          <cell r="A128">
            <v>8832</v>
          </cell>
          <cell r="B128" t="str">
            <v>Medical Services - Maternal &amp; EPSDT</v>
          </cell>
          <cell r="C128" t="str">
            <v>Health Choice Generations</v>
          </cell>
        </row>
        <row r="129">
          <cell r="A129">
            <v>8833</v>
          </cell>
          <cell r="B129" t="str">
            <v>Medical Services - Maternal &amp; EPSDT</v>
          </cell>
          <cell r="C129" t="str">
            <v>Health Choice Utah</v>
          </cell>
        </row>
        <row r="130">
          <cell r="A130">
            <v>8834</v>
          </cell>
          <cell r="B130" t="str">
            <v>Medical Services - Maternal &amp; EPSDT</v>
          </cell>
          <cell r="C130" t="str">
            <v>Health Choice Preferred</v>
          </cell>
        </row>
        <row r="131">
          <cell r="A131">
            <v>8835</v>
          </cell>
          <cell r="B131" t="str">
            <v>Medical Services - Maternal &amp; EPSDT</v>
          </cell>
          <cell r="C131" t="str">
            <v>Health Choice Insurance Company (HIX)</v>
          </cell>
        </row>
        <row r="132">
          <cell r="A132">
            <v>8836</v>
          </cell>
          <cell r="B132" t="str">
            <v>Medical Services - Maternal &amp; EPSDT</v>
          </cell>
          <cell r="C132" t="str">
            <v>Business Development</v>
          </cell>
        </row>
        <row r="133">
          <cell r="A133">
            <v>8837</v>
          </cell>
          <cell r="B133" t="str">
            <v>Medical Services - Maternal &amp; EPSDT</v>
          </cell>
          <cell r="C133" t="str">
            <v>Health Choice Preferred Network</v>
          </cell>
        </row>
        <row r="134">
          <cell r="A134">
            <v>8838</v>
          </cell>
          <cell r="B134" t="str">
            <v>Medical Services - Maternal &amp; EPSDT</v>
          </cell>
          <cell r="C134" t="str">
            <v>Health Choice Preferred Network Utah</v>
          </cell>
        </row>
        <row r="135">
          <cell r="A135">
            <v>8839</v>
          </cell>
          <cell r="B135" t="str">
            <v>Medical Services - Maternal &amp; EPSDT</v>
          </cell>
          <cell r="C135" t="str">
            <v>Health Choice Florida</v>
          </cell>
        </row>
        <row r="136">
          <cell r="A136">
            <v>8840</v>
          </cell>
          <cell r="B136" t="str">
            <v>Medical Services - Util Review</v>
          </cell>
          <cell r="C136" t="str">
            <v>Management Company</v>
          </cell>
        </row>
        <row r="137">
          <cell r="A137">
            <v>8841</v>
          </cell>
          <cell r="B137" t="str">
            <v>Medical Services - Util Review</v>
          </cell>
          <cell r="C137" t="str">
            <v>Health Choice Arizona</v>
          </cell>
        </row>
        <row r="138">
          <cell r="A138">
            <v>8842</v>
          </cell>
          <cell r="B138" t="str">
            <v>Medical Services - Util Review</v>
          </cell>
          <cell r="C138" t="str">
            <v>Health Choice Generations</v>
          </cell>
        </row>
        <row r="139">
          <cell r="A139">
            <v>8843</v>
          </cell>
          <cell r="B139" t="str">
            <v>Medical Services - Util Review</v>
          </cell>
          <cell r="C139" t="str">
            <v>Health Choice Utah</v>
          </cell>
        </row>
        <row r="140">
          <cell r="A140">
            <v>8844</v>
          </cell>
          <cell r="B140" t="str">
            <v>Medical Services - Util Review</v>
          </cell>
          <cell r="C140" t="str">
            <v>Health Choice Preferred</v>
          </cell>
        </row>
        <row r="141">
          <cell r="A141">
            <v>8845</v>
          </cell>
          <cell r="B141" t="str">
            <v>Medical Services - Util Review</v>
          </cell>
          <cell r="C141" t="str">
            <v>Health Choice Insurance Company (HIX)</v>
          </cell>
        </row>
        <row r="142">
          <cell r="A142">
            <v>8846</v>
          </cell>
          <cell r="B142" t="str">
            <v>Medical Services - Util Review</v>
          </cell>
          <cell r="C142" t="str">
            <v>Business Development</v>
          </cell>
        </row>
        <row r="143">
          <cell r="A143">
            <v>8847</v>
          </cell>
          <cell r="B143" t="str">
            <v>Medical Services - Util Review</v>
          </cell>
          <cell r="C143" t="str">
            <v>Health Choice Preferred Network</v>
          </cell>
        </row>
        <row r="144">
          <cell r="A144">
            <v>8848</v>
          </cell>
          <cell r="B144" t="str">
            <v>Medical Services - Util Review</v>
          </cell>
          <cell r="C144" t="str">
            <v>Health Choice Preferred Network Utah</v>
          </cell>
        </row>
        <row r="145">
          <cell r="A145">
            <v>8849</v>
          </cell>
          <cell r="B145" t="str">
            <v>Medical Services - Util Review</v>
          </cell>
          <cell r="C145" t="str">
            <v>Health Choice Florida</v>
          </cell>
        </row>
        <row r="146">
          <cell r="A146">
            <v>8850</v>
          </cell>
          <cell r="B146" t="str">
            <v>Medical Services - Prior Auth</v>
          </cell>
          <cell r="C146" t="str">
            <v>Management Company</v>
          </cell>
        </row>
        <row r="147">
          <cell r="A147">
            <v>8851</v>
          </cell>
          <cell r="B147" t="str">
            <v>Medical Services - Prior Auth</v>
          </cell>
          <cell r="C147" t="str">
            <v>Health Choice Arizona</v>
          </cell>
        </row>
        <row r="148">
          <cell r="A148">
            <v>8852</v>
          </cell>
          <cell r="B148" t="str">
            <v>Medical Services - Prior Auth</v>
          </cell>
          <cell r="C148" t="str">
            <v>Health Choice Generations</v>
          </cell>
        </row>
        <row r="149">
          <cell r="A149">
            <v>8853</v>
          </cell>
          <cell r="B149" t="str">
            <v>Medical Services - Prior Auth</v>
          </cell>
          <cell r="C149" t="str">
            <v>Health Choice Utah</v>
          </cell>
        </row>
        <row r="150">
          <cell r="A150">
            <v>8854</v>
          </cell>
          <cell r="B150" t="str">
            <v>Medical Services - Prior Auth</v>
          </cell>
          <cell r="C150" t="str">
            <v>Health Choice Preferred</v>
          </cell>
        </row>
        <row r="151">
          <cell r="A151">
            <v>8855</v>
          </cell>
          <cell r="B151" t="str">
            <v>Medical Services - Prior Auth</v>
          </cell>
          <cell r="C151" t="str">
            <v>Health Choice Insurance Company (HIX)</v>
          </cell>
        </row>
        <row r="152">
          <cell r="A152">
            <v>8856</v>
          </cell>
          <cell r="B152" t="str">
            <v>Medical Services - Prior Auth</v>
          </cell>
          <cell r="C152" t="str">
            <v>Business Development</v>
          </cell>
        </row>
        <row r="153">
          <cell r="A153">
            <v>8857</v>
          </cell>
          <cell r="B153" t="str">
            <v>Medical Services - Prior Auth</v>
          </cell>
          <cell r="C153" t="str">
            <v>Health Choice Preferred Network</v>
          </cell>
        </row>
        <row r="154">
          <cell r="A154">
            <v>8858</v>
          </cell>
          <cell r="B154" t="str">
            <v>Medical Services - Prior Auth</v>
          </cell>
          <cell r="C154" t="str">
            <v>Health Choice Preferred Network Utah</v>
          </cell>
        </row>
        <row r="155">
          <cell r="A155">
            <v>8859</v>
          </cell>
          <cell r="B155" t="str">
            <v>Medical Services - Prior Auth</v>
          </cell>
          <cell r="C155" t="str">
            <v>Health Choice Florida</v>
          </cell>
        </row>
        <row r="156">
          <cell r="A156">
            <v>8860</v>
          </cell>
          <cell r="B156" t="str">
            <v>Medical Services - Quality</v>
          </cell>
          <cell r="C156" t="str">
            <v>Management Company</v>
          </cell>
        </row>
        <row r="157">
          <cell r="A157">
            <v>8861</v>
          </cell>
          <cell r="B157" t="str">
            <v>Medical Services - Quality</v>
          </cell>
          <cell r="C157" t="str">
            <v>Health Choice Arizona</v>
          </cell>
        </row>
        <row r="158">
          <cell r="A158">
            <v>8862</v>
          </cell>
          <cell r="B158" t="str">
            <v>Medical Services - Quality</v>
          </cell>
          <cell r="C158" t="str">
            <v>Health Choice Generations</v>
          </cell>
        </row>
        <row r="159">
          <cell r="A159">
            <v>8863</v>
          </cell>
          <cell r="B159" t="str">
            <v>Medical Services - Quality</v>
          </cell>
          <cell r="C159" t="str">
            <v>Health Choice Utah</v>
          </cell>
        </row>
        <row r="160">
          <cell r="A160">
            <v>8864</v>
          </cell>
          <cell r="B160" t="str">
            <v>Medical Services - Quality</v>
          </cell>
          <cell r="C160" t="str">
            <v>Health Choice Preferred</v>
          </cell>
        </row>
        <row r="161">
          <cell r="A161">
            <v>8865</v>
          </cell>
          <cell r="B161" t="str">
            <v>Medical Services - Quality</v>
          </cell>
          <cell r="C161" t="str">
            <v>Health Choice Insurance Company (HIX)</v>
          </cell>
        </row>
        <row r="162">
          <cell r="A162">
            <v>8866</v>
          </cell>
          <cell r="B162" t="str">
            <v>Medical Services - Quality</v>
          </cell>
          <cell r="C162" t="str">
            <v>Business Development</v>
          </cell>
        </row>
        <row r="163">
          <cell r="A163">
            <v>8867</v>
          </cell>
          <cell r="B163" t="str">
            <v>Medical Services - Quality</v>
          </cell>
          <cell r="C163" t="str">
            <v>Health Choice Preferred Network</v>
          </cell>
        </row>
        <row r="164">
          <cell r="A164">
            <v>8868</v>
          </cell>
          <cell r="B164" t="str">
            <v>Medical Services - Quality</v>
          </cell>
          <cell r="C164" t="str">
            <v>Health Choice Preferred Network Utah</v>
          </cell>
        </row>
        <row r="165">
          <cell r="A165">
            <v>8869</v>
          </cell>
          <cell r="B165" t="str">
            <v>Medical Services - Quality</v>
          </cell>
          <cell r="C165" t="str">
            <v>Health Choice Florida</v>
          </cell>
        </row>
        <row r="166">
          <cell r="A166">
            <v>8870</v>
          </cell>
          <cell r="B166" t="str">
            <v>Medical Services  -Pharmacy</v>
          </cell>
          <cell r="C166" t="str">
            <v>Management Company</v>
          </cell>
        </row>
        <row r="167">
          <cell r="A167">
            <v>8871</v>
          </cell>
          <cell r="B167" t="str">
            <v>Medical Services  -Pharmacy</v>
          </cell>
          <cell r="C167" t="str">
            <v>Health Choice Arizona</v>
          </cell>
        </row>
        <row r="168">
          <cell r="A168">
            <v>8872</v>
          </cell>
          <cell r="B168" t="str">
            <v>Medical Services  -Pharmacy</v>
          </cell>
          <cell r="C168" t="str">
            <v>Health Choice Generations</v>
          </cell>
        </row>
        <row r="169">
          <cell r="A169">
            <v>8873</v>
          </cell>
          <cell r="B169" t="str">
            <v>Medical Services  -Pharmacy</v>
          </cell>
          <cell r="C169" t="str">
            <v>Health Choice Utah</v>
          </cell>
        </row>
        <row r="170">
          <cell r="A170">
            <v>8874</v>
          </cell>
          <cell r="B170" t="str">
            <v>Medical Services  -Pharmacy</v>
          </cell>
          <cell r="C170" t="str">
            <v>Health Choice Preferred</v>
          </cell>
        </row>
        <row r="171">
          <cell r="A171">
            <v>8875</v>
          </cell>
          <cell r="B171" t="str">
            <v>Medical Services  -Pharmacy</v>
          </cell>
          <cell r="C171" t="str">
            <v>Health Choice Insurance Company (HIX)</v>
          </cell>
        </row>
        <row r="172">
          <cell r="A172">
            <v>8876</v>
          </cell>
          <cell r="B172" t="str">
            <v>Medical Services  -Pharmacy</v>
          </cell>
          <cell r="C172" t="str">
            <v>Business Development</v>
          </cell>
        </row>
        <row r="173">
          <cell r="A173">
            <v>8877</v>
          </cell>
          <cell r="B173" t="str">
            <v>Medical Services  -Pharmacy</v>
          </cell>
          <cell r="C173" t="str">
            <v>Health Choice Preferred Network</v>
          </cell>
        </row>
        <row r="174">
          <cell r="A174">
            <v>8878</v>
          </cell>
          <cell r="B174" t="str">
            <v>Medical Services  -Pharmacy</v>
          </cell>
          <cell r="C174" t="str">
            <v>Health Choice Preferred Network Utah</v>
          </cell>
        </row>
        <row r="175">
          <cell r="A175">
            <v>8879</v>
          </cell>
          <cell r="B175" t="str">
            <v>Medical Services  -Pharmacy</v>
          </cell>
          <cell r="C175" t="str">
            <v>Health Choice Florida</v>
          </cell>
        </row>
        <row r="176">
          <cell r="A176">
            <v>8880</v>
          </cell>
          <cell r="B176" t="str">
            <v>Medical Services - Disputes</v>
          </cell>
          <cell r="C176" t="str">
            <v>Management Company</v>
          </cell>
        </row>
        <row r="177">
          <cell r="A177">
            <v>8881</v>
          </cell>
          <cell r="B177" t="str">
            <v>Medical Services - Disputes</v>
          </cell>
          <cell r="C177" t="str">
            <v>Health Choice Arizona</v>
          </cell>
        </row>
        <row r="178">
          <cell r="A178">
            <v>8882</v>
          </cell>
          <cell r="B178" t="str">
            <v>Medical Services - Disputes</v>
          </cell>
          <cell r="C178" t="str">
            <v>Health Choice Generations</v>
          </cell>
        </row>
        <row r="179">
          <cell r="A179">
            <v>8883</v>
          </cell>
          <cell r="B179" t="str">
            <v>Medical Services - Disputes</v>
          </cell>
          <cell r="C179" t="str">
            <v>Health Choice Utah</v>
          </cell>
        </row>
        <row r="180">
          <cell r="A180">
            <v>8884</v>
          </cell>
          <cell r="B180" t="str">
            <v>Medical Services - Disputes</v>
          </cell>
          <cell r="C180" t="str">
            <v>Health Choice Preferred</v>
          </cell>
        </row>
        <row r="181">
          <cell r="A181">
            <v>8885</v>
          </cell>
          <cell r="B181" t="str">
            <v>Medical Services - Disputes</v>
          </cell>
          <cell r="C181" t="str">
            <v>Health Choice Insurance Company (HIX)</v>
          </cell>
        </row>
        <row r="182">
          <cell r="A182">
            <v>8886</v>
          </cell>
          <cell r="B182" t="str">
            <v>Medical Services - Disputes</v>
          </cell>
          <cell r="C182" t="str">
            <v>Business Development</v>
          </cell>
        </row>
        <row r="183">
          <cell r="A183">
            <v>8887</v>
          </cell>
          <cell r="B183" t="str">
            <v>Medical Services - Disputes</v>
          </cell>
          <cell r="C183" t="str">
            <v>Health Choice Preferred Network</v>
          </cell>
        </row>
        <row r="184">
          <cell r="A184">
            <v>8888</v>
          </cell>
          <cell r="B184" t="str">
            <v>Medical Services - Disputes</v>
          </cell>
          <cell r="C184" t="str">
            <v>Health Choice Preferred Network Utah</v>
          </cell>
        </row>
        <row r="185">
          <cell r="A185">
            <v>8889</v>
          </cell>
          <cell r="B185" t="str">
            <v>Medical Services - Disputes</v>
          </cell>
          <cell r="C185" t="str">
            <v>Health Choice Florida</v>
          </cell>
        </row>
        <row r="186">
          <cell r="A186">
            <v>8890</v>
          </cell>
          <cell r="B186" t="str">
            <v>Medical Services - Care Evaluation</v>
          </cell>
          <cell r="C186" t="str">
            <v>Management Company</v>
          </cell>
        </row>
        <row r="187">
          <cell r="A187">
            <v>8891</v>
          </cell>
          <cell r="B187" t="str">
            <v>Medical Services - Care Evaluation</v>
          </cell>
          <cell r="C187" t="str">
            <v>Health Choice Arizona</v>
          </cell>
        </row>
        <row r="188">
          <cell r="A188">
            <v>8892</v>
          </cell>
          <cell r="B188" t="str">
            <v>Medical Services - Care Evaluation</v>
          </cell>
          <cell r="C188" t="str">
            <v>Health Choice Generations</v>
          </cell>
        </row>
        <row r="189">
          <cell r="A189">
            <v>8893</v>
          </cell>
          <cell r="B189" t="str">
            <v>Medical Services - Care Evaluation</v>
          </cell>
          <cell r="C189" t="str">
            <v>Health Choice Utah</v>
          </cell>
        </row>
        <row r="190">
          <cell r="A190">
            <v>8894</v>
          </cell>
          <cell r="B190" t="str">
            <v>Medical Services - Care Evaluation</v>
          </cell>
          <cell r="C190" t="str">
            <v>Health Choice Preferred</v>
          </cell>
        </row>
        <row r="191">
          <cell r="A191">
            <v>8895</v>
          </cell>
          <cell r="B191" t="str">
            <v>Medical Services - Care Evaluation</v>
          </cell>
          <cell r="C191" t="str">
            <v>Health Choice Insurance Company (HIX)</v>
          </cell>
        </row>
        <row r="192">
          <cell r="A192">
            <v>8896</v>
          </cell>
          <cell r="B192" t="str">
            <v>Medical Services - Care Evaluation</v>
          </cell>
          <cell r="C192" t="str">
            <v>Business Development</v>
          </cell>
        </row>
        <row r="193">
          <cell r="A193">
            <v>8897</v>
          </cell>
          <cell r="B193" t="str">
            <v>Medical Services - Care Evaluation</v>
          </cell>
          <cell r="C193" t="str">
            <v>Health Choice Preferred Network</v>
          </cell>
        </row>
        <row r="194">
          <cell r="A194">
            <v>8898</v>
          </cell>
          <cell r="B194" t="str">
            <v>Medical Services - Care Evaluation</v>
          </cell>
          <cell r="C194" t="str">
            <v>Health Choice Preferred Network Utah</v>
          </cell>
        </row>
        <row r="195">
          <cell r="A195">
            <v>8899</v>
          </cell>
          <cell r="B195" t="str">
            <v>Medical Services - Care Evaluation</v>
          </cell>
          <cell r="C195" t="str">
            <v>Health Choice Florida</v>
          </cell>
        </row>
        <row r="196">
          <cell r="A196">
            <v>8910</v>
          </cell>
          <cell r="B196" t="str">
            <v>Finance - Accounting</v>
          </cell>
          <cell r="C196" t="str">
            <v>Management Company</v>
          </cell>
        </row>
        <row r="197">
          <cell r="A197">
            <v>8911</v>
          </cell>
          <cell r="B197" t="str">
            <v>Finance - Accounting</v>
          </cell>
          <cell r="C197" t="str">
            <v>Health Choice Arizona</v>
          </cell>
        </row>
        <row r="198">
          <cell r="A198">
            <v>8912</v>
          </cell>
          <cell r="B198" t="str">
            <v>Finance - Accounting</v>
          </cell>
          <cell r="C198" t="str">
            <v>Health Choice Generations</v>
          </cell>
        </row>
        <row r="199">
          <cell r="A199">
            <v>8913</v>
          </cell>
          <cell r="B199" t="str">
            <v>Finance - Accounting</v>
          </cell>
          <cell r="C199" t="str">
            <v>Health Choice Utah</v>
          </cell>
        </row>
        <row r="200">
          <cell r="A200">
            <v>8914</v>
          </cell>
          <cell r="B200" t="str">
            <v>Finance - Accounting</v>
          </cell>
          <cell r="C200" t="str">
            <v>Health Choice Preferred</v>
          </cell>
        </row>
        <row r="201">
          <cell r="A201">
            <v>8915</v>
          </cell>
          <cell r="B201" t="str">
            <v>Finance - Accounting</v>
          </cell>
          <cell r="C201" t="str">
            <v>Health Choice Insurance Company (HIX)</v>
          </cell>
        </row>
        <row r="202">
          <cell r="A202">
            <v>8916</v>
          </cell>
          <cell r="B202" t="str">
            <v>Finance - Accounting</v>
          </cell>
          <cell r="C202" t="str">
            <v>Business Development</v>
          </cell>
        </row>
        <row r="203">
          <cell r="A203">
            <v>8917</v>
          </cell>
          <cell r="B203" t="str">
            <v>Finance - Accounting</v>
          </cell>
          <cell r="C203" t="str">
            <v>Health Choice Preferred Network</v>
          </cell>
        </row>
        <row r="204">
          <cell r="A204">
            <v>8918</v>
          </cell>
          <cell r="B204" t="str">
            <v>Finance - Accounting</v>
          </cell>
          <cell r="C204" t="str">
            <v>Health Choice Preferred Network Utah</v>
          </cell>
        </row>
        <row r="205">
          <cell r="A205">
            <v>8919</v>
          </cell>
          <cell r="B205" t="str">
            <v>Finance - Accounting</v>
          </cell>
          <cell r="C205" t="str">
            <v>Health Choice Florida</v>
          </cell>
        </row>
        <row r="206">
          <cell r="A206">
            <v>8920</v>
          </cell>
          <cell r="B206" t="str">
            <v>Finance - Economics</v>
          </cell>
          <cell r="C206" t="str">
            <v>Management Company</v>
          </cell>
        </row>
        <row r="207">
          <cell r="A207">
            <v>8921</v>
          </cell>
          <cell r="B207" t="str">
            <v>Finance - Economics</v>
          </cell>
          <cell r="C207" t="str">
            <v>Health Choice Arizona</v>
          </cell>
        </row>
        <row r="208">
          <cell r="A208">
            <v>8922</v>
          </cell>
          <cell r="B208" t="str">
            <v>Finance - Economics</v>
          </cell>
          <cell r="C208" t="str">
            <v>Health Choice Generations</v>
          </cell>
        </row>
        <row r="209">
          <cell r="A209">
            <v>8923</v>
          </cell>
          <cell r="B209" t="str">
            <v>Finance - Economics</v>
          </cell>
          <cell r="C209" t="str">
            <v>Health Choice Utah</v>
          </cell>
        </row>
        <row r="210">
          <cell r="A210">
            <v>8924</v>
          </cell>
          <cell r="B210" t="str">
            <v>Finance - Economics</v>
          </cell>
          <cell r="C210" t="str">
            <v>Health Choice Preferred</v>
          </cell>
        </row>
        <row r="211">
          <cell r="A211">
            <v>8925</v>
          </cell>
          <cell r="B211" t="str">
            <v>Finance - Economics</v>
          </cell>
          <cell r="C211" t="str">
            <v>Health Choice Insurance Company (HIX)</v>
          </cell>
        </row>
        <row r="212">
          <cell r="A212">
            <v>8926</v>
          </cell>
          <cell r="B212" t="str">
            <v>Finance - Economics</v>
          </cell>
          <cell r="C212" t="str">
            <v>Business Development</v>
          </cell>
        </row>
        <row r="213">
          <cell r="A213">
            <v>8927</v>
          </cell>
          <cell r="B213" t="str">
            <v>Finance - Economics</v>
          </cell>
          <cell r="C213" t="str">
            <v>Health Choice Preferred Network</v>
          </cell>
        </row>
        <row r="214">
          <cell r="A214">
            <v>8928</v>
          </cell>
          <cell r="B214" t="str">
            <v>Finance - Economics</v>
          </cell>
          <cell r="C214" t="str">
            <v>Health Choice Preferred Network Utah</v>
          </cell>
        </row>
        <row r="215">
          <cell r="A215">
            <v>8929</v>
          </cell>
          <cell r="B215" t="str">
            <v>Finance - Economics</v>
          </cell>
          <cell r="C215" t="str">
            <v>Health Choice Florida</v>
          </cell>
        </row>
        <row r="216">
          <cell r="A216">
            <v>8930</v>
          </cell>
          <cell r="B216" t="str">
            <v>Financial Planning &amp; Analysis</v>
          </cell>
          <cell r="C216" t="str">
            <v>Management Company</v>
          </cell>
        </row>
        <row r="217">
          <cell r="A217">
            <v>8931</v>
          </cell>
          <cell r="B217" t="str">
            <v>Financial Planning &amp; Analysis</v>
          </cell>
          <cell r="C217" t="str">
            <v>Health Choice Arizona</v>
          </cell>
        </row>
        <row r="218">
          <cell r="A218">
            <v>8932</v>
          </cell>
          <cell r="B218" t="str">
            <v>Financial Planning &amp; Analysis</v>
          </cell>
          <cell r="C218" t="str">
            <v>Health Choice Generations</v>
          </cell>
        </row>
        <row r="219">
          <cell r="A219">
            <v>8933</v>
          </cell>
          <cell r="B219" t="str">
            <v>Financial Planning &amp; Analysis</v>
          </cell>
          <cell r="C219" t="str">
            <v>Health Choice Utah</v>
          </cell>
        </row>
        <row r="220">
          <cell r="A220">
            <v>8934</v>
          </cell>
          <cell r="B220" t="str">
            <v>Financial Planning &amp; Analysis</v>
          </cell>
          <cell r="C220" t="str">
            <v>Health Choice Preferred</v>
          </cell>
        </row>
        <row r="221">
          <cell r="A221">
            <v>8935</v>
          </cell>
          <cell r="B221" t="str">
            <v>Financial Planning &amp; Analysis</v>
          </cell>
          <cell r="C221" t="str">
            <v>Health Choice Insurance Company (HIX)</v>
          </cell>
        </row>
        <row r="222">
          <cell r="A222">
            <v>8936</v>
          </cell>
          <cell r="B222" t="str">
            <v>Financial Planning &amp; Analysis</v>
          </cell>
          <cell r="C222" t="str">
            <v>Business Development</v>
          </cell>
        </row>
        <row r="223">
          <cell r="A223">
            <v>8937</v>
          </cell>
          <cell r="B223" t="str">
            <v>Financial Planning &amp; Analysis</v>
          </cell>
          <cell r="C223" t="str">
            <v>Health Choice Preferred Network</v>
          </cell>
        </row>
        <row r="224">
          <cell r="A224">
            <v>8938</v>
          </cell>
          <cell r="B224" t="str">
            <v>Financial Planning &amp; Analysis</v>
          </cell>
          <cell r="C224" t="str">
            <v>Health Choice Preferred Network Utah</v>
          </cell>
        </row>
        <row r="225">
          <cell r="A225">
            <v>8939</v>
          </cell>
          <cell r="B225" t="str">
            <v>Financial Planning &amp; Analysis</v>
          </cell>
          <cell r="C225" t="str">
            <v>Health Choice Florida</v>
          </cell>
        </row>
        <row r="226">
          <cell r="A226">
            <v>8940</v>
          </cell>
          <cell r="B226" t="str">
            <v>Finance - Recoveries</v>
          </cell>
          <cell r="C226" t="str">
            <v>Management Company</v>
          </cell>
        </row>
        <row r="227">
          <cell r="A227">
            <v>8941</v>
          </cell>
          <cell r="B227" t="str">
            <v>Finance - Recoveries</v>
          </cell>
          <cell r="C227" t="str">
            <v>Health Choice Arizona</v>
          </cell>
        </row>
        <row r="228">
          <cell r="A228">
            <v>8942</v>
          </cell>
          <cell r="B228" t="str">
            <v>Finance - Recoveries</v>
          </cell>
          <cell r="C228" t="str">
            <v>Health Choice Generations</v>
          </cell>
        </row>
        <row r="229">
          <cell r="A229">
            <v>8943</v>
          </cell>
          <cell r="B229" t="str">
            <v>Finance - Recoveries</v>
          </cell>
          <cell r="C229" t="str">
            <v>Health Choice Utah</v>
          </cell>
        </row>
        <row r="230">
          <cell r="A230">
            <v>8944</v>
          </cell>
          <cell r="B230" t="str">
            <v>Finance - Recoveries</v>
          </cell>
          <cell r="C230" t="str">
            <v>Health Choice Preferred</v>
          </cell>
        </row>
        <row r="231">
          <cell r="A231">
            <v>8945</v>
          </cell>
          <cell r="B231" t="str">
            <v>Finance - Recoveries</v>
          </cell>
          <cell r="C231" t="str">
            <v>Health Choice Insurance Company (HIX)</v>
          </cell>
        </row>
        <row r="232">
          <cell r="A232">
            <v>8946</v>
          </cell>
          <cell r="B232" t="str">
            <v>Finance - Recoveries</v>
          </cell>
          <cell r="C232" t="str">
            <v>Business Development</v>
          </cell>
        </row>
        <row r="233">
          <cell r="A233">
            <v>8947</v>
          </cell>
          <cell r="B233" t="str">
            <v>Finance - Recoveries</v>
          </cell>
          <cell r="C233" t="str">
            <v>Health Choice Preferred Network</v>
          </cell>
        </row>
        <row r="234">
          <cell r="A234">
            <v>8948</v>
          </cell>
          <cell r="B234" t="str">
            <v>Finance - Recoveries</v>
          </cell>
          <cell r="C234" t="str">
            <v>Health Choice Preferred Network Utah</v>
          </cell>
        </row>
        <row r="235">
          <cell r="A235">
            <v>8949</v>
          </cell>
          <cell r="B235" t="str">
            <v>Finance - Recoveries</v>
          </cell>
          <cell r="C235" t="str">
            <v>Health Choice Florida</v>
          </cell>
        </row>
        <row r="236">
          <cell r="A236">
            <v>8950</v>
          </cell>
          <cell r="B236" t="str">
            <v>Finance - Provider Reimbursement</v>
          </cell>
          <cell r="C236" t="str">
            <v>Management Company</v>
          </cell>
        </row>
        <row r="237">
          <cell r="A237">
            <v>8951</v>
          </cell>
          <cell r="B237" t="str">
            <v>Finance - Provider Reimbursement</v>
          </cell>
          <cell r="C237" t="str">
            <v>Health Choice Arizona</v>
          </cell>
        </row>
        <row r="238">
          <cell r="A238">
            <v>8952</v>
          </cell>
          <cell r="B238" t="str">
            <v>Finance - Provider Reimbursement</v>
          </cell>
          <cell r="C238" t="str">
            <v>Health Choice Generations</v>
          </cell>
        </row>
        <row r="239">
          <cell r="A239">
            <v>8953</v>
          </cell>
          <cell r="B239" t="str">
            <v>Finance - Provider Reimbursement</v>
          </cell>
          <cell r="C239" t="str">
            <v>Health Choice Utah</v>
          </cell>
        </row>
        <row r="240">
          <cell r="A240">
            <v>8954</v>
          </cell>
          <cell r="B240" t="str">
            <v>Finance - Provider Reimbursement</v>
          </cell>
          <cell r="C240" t="str">
            <v>Health Choice Preferred</v>
          </cell>
        </row>
        <row r="241">
          <cell r="A241">
            <v>8955</v>
          </cell>
          <cell r="B241" t="str">
            <v>Finance - Provider Reimbursement</v>
          </cell>
          <cell r="C241" t="str">
            <v>Health Choice Insurance Company (HIX)</v>
          </cell>
        </row>
        <row r="242">
          <cell r="A242">
            <v>8956</v>
          </cell>
          <cell r="B242" t="str">
            <v>Finance - Provider Reimbursement</v>
          </cell>
          <cell r="C242" t="str">
            <v>Business Development</v>
          </cell>
        </row>
        <row r="243">
          <cell r="A243">
            <v>8957</v>
          </cell>
          <cell r="B243" t="str">
            <v>Finance - Provider Reimbursement</v>
          </cell>
          <cell r="C243" t="str">
            <v>Health Choice Preferred Network</v>
          </cell>
        </row>
        <row r="244">
          <cell r="A244">
            <v>8958</v>
          </cell>
          <cell r="B244" t="str">
            <v>Finance - Provider Reimbursement</v>
          </cell>
          <cell r="C244" t="str">
            <v>Health Choice Preferred Network Utah</v>
          </cell>
        </row>
        <row r="245">
          <cell r="A245">
            <v>8959</v>
          </cell>
          <cell r="B245" t="str">
            <v>Finance - Provider Reimbursement</v>
          </cell>
          <cell r="C245" t="str">
            <v>Health Choice Florida</v>
          </cell>
        </row>
        <row r="246">
          <cell r="A246">
            <v>8960</v>
          </cell>
          <cell r="B246" t="str">
            <v>Audit</v>
          </cell>
          <cell r="C246" t="str">
            <v>Management Company</v>
          </cell>
        </row>
        <row r="247">
          <cell r="A247">
            <v>8961</v>
          </cell>
          <cell r="B247" t="str">
            <v>Audit</v>
          </cell>
          <cell r="C247" t="str">
            <v>Health Choice Arizona</v>
          </cell>
        </row>
        <row r="248">
          <cell r="A248">
            <v>8962</v>
          </cell>
          <cell r="B248" t="str">
            <v>Audit</v>
          </cell>
          <cell r="C248" t="str">
            <v>Health Choice Generations</v>
          </cell>
        </row>
        <row r="249">
          <cell r="A249">
            <v>8963</v>
          </cell>
          <cell r="B249" t="str">
            <v>Audit</v>
          </cell>
          <cell r="C249" t="str">
            <v>Health Choice Utah</v>
          </cell>
        </row>
        <row r="250">
          <cell r="A250">
            <v>8964</v>
          </cell>
          <cell r="B250" t="str">
            <v>Audit</v>
          </cell>
          <cell r="C250" t="str">
            <v>Health Choice Preferred</v>
          </cell>
        </row>
        <row r="251">
          <cell r="A251">
            <v>8965</v>
          </cell>
          <cell r="B251" t="str">
            <v>Audit</v>
          </cell>
          <cell r="C251" t="str">
            <v>Health Choice Insurance Company (HIX)</v>
          </cell>
        </row>
        <row r="252">
          <cell r="A252">
            <v>8966</v>
          </cell>
          <cell r="B252" t="str">
            <v>Audit</v>
          </cell>
          <cell r="C252" t="str">
            <v>Business Development</v>
          </cell>
        </row>
        <row r="253">
          <cell r="A253">
            <v>8967</v>
          </cell>
          <cell r="B253" t="str">
            <v>Audit</v>
          </cell>
          <cell r="C253" t="str">
            <v>Health Choice Preferred Network</v>
          </cell>
        </row>
        <row r="254">
          <cell r="A254">
            <v>8968</v>
          </cell>
          <cell r="B254" t="str">
            <v>Audit</v>
          </cell>
          <cell r="C254" t="str">
            <v>Health Choice Preferred Network Utah</v>
          </cell>
        </row>
        <row r="255">
          <cell r="A255">
            <v>8969</v>
          </cell>
          <cell r="B255" t="str">
            <v>Audit</v>
          </cell>
          <cell r="C255" t="str">
            <v>Health Choice Florida</v>
          </cell>
        </row>
        <row r="256">
          <cell r="A256">
            <v>8970</v>
          </cell>
          <cell r="B256" t="str">
            <v>Risk Adjustment</v>
          </cell>
          <cell r="C256" t="str">
            <v>Management Company</v>
          </cell>
        </row>
        <row r="257">
          <cell r="A257">
            <v>8971</v>
          </cell>
          <cell r="B257" t="str">
            <v>Risk Adjustment</v>
          </cell>
          <cell r="C257" t="str">
            <v>Health Choice Arizona</v>
          </cell>
        </row>
        <row r="258">
          <cell r="A258">
            <v>8972</v>
          </cell>
          <cell r="B258" t="str">
            <v>Risk Adjustment</v>
          </cell>
          <cell r="C258" t="str">
            <v>Health Choice Generations</v>
          </cell>
        </row>
        <row r="259">
          <cell r="A259">
            <v>8973</v>
          </cell>
          <cell r="B259" t="str">
            <v>Risk Adjustment</v>
          </cell>
          <cell r="C259" t="str">
            <v>Health Choice Utah</v>
          </cell>
        </row>
        <row r="260">
          <cell r="A260">
            <v>8974</v>
          </cell>
          <cell r="B260" t="str">
            <v>Risk Adjustment</v>
          </cell>
          <cell r="C260" t="str">
            <v>Health Choice Preferred</v>
          </cell>
        </row>
        <row r="261">
          <cell r="A261">
            <v>8975</v>
          </cell>
          <cell r="B261" t="str">
            <v>Risk Adjustment</v>
          </cell>
          <cell r="C261" t="str">
            <v>Health Choice Insurance Company (HIX)</v>
          </cell>
        </row>
        <row r="262">
          <cell r="A262">
            <v>8976</v>
          </cell>
          <cell r="B262" t="str">
            <v>Risk Adjustment</v>
          </cell>
          <cell r="C262" t="str">
            <v>Business Development</v>
          </cell>
        </row>
        <row r="263">
          <cell r="A263">
            <v>8977</v>
          </cell>
          <cell r="B263" t="str">
            <v>Risk Adjustment</v>
          </cell>
          <cell r="C263" t="str">
            <v>Health Choice Preferred Network</v>
          </cell>
        </row>
        <row r="264">
          <cell r="A264">
            <v>8978</v>
          </cell>
          <cell r="B264" t="str">
            <v>Risk Adjustment</v>
          </cell>
          <cell r="C264" t="str">
            <v>Health Choice Preferred Network Utah</v>
          </cell>
        </row>
        <row r="265">
          <cell r="A265">
            <v>8979</v>
          </cell>
          <cell r="B265" t="str">
            <v>Risk Adjustment</v>
          </cell>
          <cell r="C265" t="str">
            <v>Health Choice Florida</v>
          </cell>
        </row>
        <row r="266">
          <cell r="A266">
            <v>9000</v>
          </cell>
          <cell r="B266" t="str">
            <v>Administration</v>
          </cell>
          <cell r="C266" t="str">
            <v>Health Choice Arizona ACO</v>
          </cell>
        </row>
        <row r="267">
          <cell r="A267">
            <v>9001</v>
          </cell>
          <cell r="B267" t="str">
            <v>Administration</v>
          </cell>
          <cell r="C267" t="str">
            <v>Health Choice Utah ACO</v>
          </cell>
        </row>
        <row r="268">
          <cell r="A268">
            <v>9030</v>
          </cell>
          <cell r="B268" t="str">
            <v>Audit</v>
          </cell>
          <cell r="C268" t="str">
            <v>Health Choice Arizona ACO</v>
          </cell>
        </row>
        <row r="269">
          <cell r="A269">
            <v>9031</v>
          </cell>
          <cell r="B269" t="str">
            <v>Audit</v>
          </cell>
          <cell r="C269" t="str">
            <v>Health Choice Utah ACO</v>
          </cell>
        </row>
        <row r="270">
          <cell r="A270">
            <v>9060</v>
          </cell>
          <cell r="B270" t="str">
            <v>Claims</v>
          </cell>
          <cell r="C270" t="str">
            <v>Health Choice Arizona ACO</v>
          </cell>
        </row>
        <row r="271">
          <cell r="A271">
            <v>9061</v>
          </cell>
          <cell r="B271" t="str">
            <v>Claims</v>
          </cell>
          <cell r="C271" t="str">
            <v>Health Choice Utah ACO</v>
          </cell>
        </row>
        <row r="272">
          <cell r="A272">
            <v>9090</v>
          </cell>
          <cell r="B272" t="str">
            <v>Compliance</v>
          </cell>
          <cell r="C272" t="str">
            <v>Health Choice Arizona ACO</v>
          </cell>
        </row>
        <row r="273">
          <cell r="A273">
            <v>9091</v>
          </cell>
          <cell r="B273" t="str">
            <v>Compliance</v>
          </cell>
          <cell r="C273" t="str">
            <v>Health Choice Utah ACO</v>
          </cell>
        </row>
        <row r="274">
          <cell r="A274">
            <v>9120</v>
          </cell>
          <cell r="B274" t="str">
            <v>Finance - Accounting</v>
          </cell>
          <cell r="C274" t="str">
            <v>Health Choice Arizona ACO</v>
          </cell>
        </row>
        <row r="275">
          <cell r="A275">
            <v>9121</v>
          </cell>
          <cell r="B275" t="str">
            <v>Finance - Accounting</v>
          </cell>
          <cell r="C275" t="str">
            <v>Health Choice Utah ACO</v>
          </cell>
        </row>
        <row r="276">
          <cell r="A276">
            <v>9150</v>
          </cell>
          <cell r="B276" t="str">
            <v>Finance - Economics</v>
          </cell>
          <cell r="C276" t="str">
            <v>Health Choice Arizona ACO</v>
          </cell>
        </row>
        <row r="277">
          <cell r="A277">
            <v>9151</v>
          </cell>
          <cell r="B277" t="str">
            <v>Finance - Economics</v>
          </cell>
          <cell r="C277" t="str">
            <v>Health Choice Utah ACO</v>
          </cell>
        </row>
        <row r="278">
          <cell r="A278">
            <v>9180</v>
          </cell>
          <cell r="B278" t="str">
            <v>Financial Planning &amp; Analysis</v>
          </cell>
          <cell r="C278" t="str">
            <v>Health Choice Arizona ACO</v>
          </cell>
        </row>
        <row r="279">
          <cell r="A279">
            <v>9181</v>
          </cell>
          <cell r="B279" t="str">
            <v>Financial Planning &amp; Analysis</v>
          </cell>
          <cell r="C279" t="str">
            <v>Health Choice Utah ACO</v>
          </cell>
        </row>
        <row r="280">
          <cell r="A280">
            <v>9210</v>
          </cell>
          <cell r="B280" t="str">
            <v>Finance - Recoveries</v>
          </cell>
          <cell r="C280" t="str">
            <v>Health Choice Arizona ACO</v>
          </cell>
        </row>
        <row r="281">
          <cell r="A281">
            <v>9211</v>
          </cell>
          <cell r="B281" t="str">
            <v>Finance - Recoveries</v>
          </cell>
          <cell r="C281" t="str">
            <v>Health Choice Utah ACO</v>
          </cell>
        </row>
        <row r="282">
          <cell r="A282">
            <v>9240</v>
          </cell>
          <cell r="B282" t="str">
            <v>Finance - Provider Reimbursement</v>
          </cell>
          <cell r="C282" t="str">
            <v>Health Choice Arizona ACO</v>
          </cell>
        </row>
        <row r="283">
          <cell r="A283">
            <v>9241</v>
          </cell>
          <cell r="B283" t="str">
            <v>Finance - Provider Reimbursement</v>
          </cell>
          <cell r="C283" t="str">
            <v>Health Choice Utah ACO</v>
          </cell>
        </row>
        <row r="284">
          <cell r="A284">
            <v>9270</v>
          </cell>
          <cell r="B284" t="str">
            <v>Human Resources</v>
          </cell>
          <cell r="C284" t="str">
            <v>Health Choice Arizona ACO</v>
          </cell>
        </row>
        <row r="285">
          <cell r="A285">
            <v>9271</v>
          </cell>
          <cell r="B285" t="str">
            <v>Human Resources</v>
          </cell>
          <cell r="C285" t="str">
            <v>Health Choice Utah ACO</v>
          </cell>
        </row>
        <row r="286">
          <cell r="A286">
            <v>9300</v>
          </cell>
          <cell r="B286" t="str">
            <v>Information Systems</v>
          </cell>
          <cell r="C286" t="str">
            <v>Health Choice Arizona ACO</v>
          </cell>
        </row>
        <row r="287">
          <cell r="A287">
            <v>9301</v>
          </cell>
          <cell r="B287" t="str">
            <v>Information Systems</v>
          </cell>
          <cell r="C287" t="str">
            <v>Health Choice Utah ACO</v>
          </cell>
        </row>
        <row r="288">
          <cell r="A288">
            <v>9330</v>
          </cell>
          <cell r="B288" t="str">
            <v>Marketing</v>
          </cell>
          <cell r="C288" t="str">
            <v>Health Choice Arizona ACO</v>
          </cell>
        </row>
        <row r="289">
          <cell r="A289">
            <v>9331</v>
          </cell>
          <cell r="B289" t="str">
            <v>Marketing</v>
          </cell>
          <cell r="C289" t="str">
            <v>Health Choice Utah ACO</v>
          </cell>
        </row>
        <row r="290">
          <cell r="A290">
            <v>9360</v>
          </cell>
          <cell r="B290" t="str">
            <v>Medical Services - Management</v>
          </cell>
          <cell r="C290" t="str">
            <v>Health Choice Arizona ACO</v>
          </cell>
        </row>
        <row r="291">
          <cell r="A291">
            <v>9361</v>
          </cell>
          <cell r="B291" t="str">
            <v>Medical Services - Management</v>
          </cell>
          <cell r="C291" t="str">
            <v>Health Choice Utah ACO</v>
          </cell>
        </row>
        <row r="292">
          <cell r="A292">
            <v>9390</v>
          </cell>
          <cell r="B292" t="str">
            <v>Medical Services - Case Mgmt &amp; TOC</v>
          </cell>
          <cell r="C292" t="str">
            <v>Health Choice Arizona ACO</v>
          </cell>
        </row>
        <row r="293">
          <cell r="A293">
            <v>9391</v>
          </cell>
          <cell r="B293" t="str">
            <v>Medical Services - Case Mgmt &amp; TOC</v>
          </cell>
          <cell r="C293" t="str">
            <v>Health Choice Utah ACO</v>
          </cell>
        </row>
        <row r="294">
          <cell r="A294">
            <v>9420</v>
          </cell>
          <cell r="B294" t="str">
            <v>Medical Services - Maternal &amp; EPSDT</v>
          </cell>
          <cell r="C294" t="str">
            <v>Health Choice Arizona ACO</v>
          </cell>
        </row>
        <row r="295">
          <cell r="A295">
            <v>9421</v>
          </cell>
          <cell r="B295" t="str">
            <v>Medical Services - Maternal &amp; EPSDT</v>
          </cell>
          <cell r="C295" t="str">
            <v>Health Choice Utah ACO</v>
          </cell>
        </row>
        <row r="296">
          <cell r="A296">
            <v>9450</v>
          </cell>
          <cell r="B296" t="str">
            <v>Medical Services - Util Review</v>
          </cell>
          <cell r="C296" t="str">
            <v>Health Choice Arizona ACO</v>
          </cell>
        </row>
        <row r="297">
          <cell r="A297">
            <v>9451</v>
          </cell>
          <cell r="B297" t="str">
            <v>Medical Services - Util Review</v>
          </cell>
          <cell r="C297" t="str">
            <v>Health Choice Utah ACO</v>
          </cell>
        </row>
        <row r="298">
          <cell r="A298">
            <v>9480</v>
          </cell>
          <cell r="B298" t="str">
            <v>Medical Services - Prior Auth</v>
          </cell>
          <cell r="C298" t="str">
            <v>Health Choice Arizona ACO</v>
          </cell>
        </row>
        <row r="299">
          <cell r="A299">
            <v>9481</v>
          </cell>
          <cell r="B299" t="str">
            <v>Medical Services - Prior Auth</v>
          </cell>
          <cell r="C299" t="str">
            <v>Health Choice Utah ACO</v>
          </cell>
        </row>
        <row r="300">
          <cell r="A300">
            <v>9510</v>
          </cell>
          <cell r="B300" t="str">
            <v>Medical Services - Quality</v>
          </cell>
          <cell r="C300" t="str">
            <v>Health Choice Arizona ACO</v>
          </cell>
        </row>
        <row r="301">
          <cell r="A301">
            <v>9511</v>
          </cell>
          <cell r="B301" t="str">
            <v>Medical Services - Quality</v>
          </cell>
          <cell r="C301" t="str">
            <v>Health Choice Utah ACO</v>
          </cell>
        </row>
        <row r="302">
          <cell r="A302">
            <v>9540</v>
          </cell>
          <cell r="B302" t="str">
            <v>Medical Services  -Pharmacy</v>
          </cell>
          <cell r="C302" t="str">
            <v>Health Choice Arizona ACO</v>
          </cell>
        </row>
        <row r="303">
          <cell r="A303">
            <v>9541</v>
          </cell>
          <cell r="B303" t="str">
            <v>Medical Services  -Pharmacy</v>
          </cell>
          <cell r="C303" t="str">
            <v>Health Choice Utah ACO</v>
          </cell>
        </row>
        <row r="304">
          <cell r="A304">
            <v>9570</v>
          </cell>
          <cell r="B304" t="str">
            <v>Medical Services - Disputes</v>
          </cell>
          <cell r="C304" t="str">
            <v>Health Choice Arizona ACO</v>
          </cell>
        </row>
        <row r="305">
          <cell r="A305">
            <v>9571</v>
          </cell>
          <cell r="B305" t="str">
            <v>Medical Services - Disputes</v>
          </cell>
          <cell r="C305" t="str">
            <v>Health Choice Utah ACO</v>
          </cell>
        </row>
        <row r="306">
          <cell r="A306">
            <v>9600</v>
          </cell>
          <cell r="B306" t="str">
            <v>Medical Services - Care Evaluation</v>
          </cell>
          <cell r="C306" t="str">
            <v>Health Choice Arizona ACO</v>
          </cell>
        </row>
        <row r="307">
          <cell r="A307">
            <v>9601</v>
          </cell>
          <cell r="B307" t="str">
            <v>Medical Services - Care Evaluation</v>
          </cell>
          <cell r="C307" t="str">
            <v>Health Choice Utah ACO</v>
          </cell>
        </row>
        <row r="308">
          <cell r="A308">
            <v>9630</v>
          </cell>
          <cell r="B308" t="str">
            <v>Member Services</v>
          </cell>
          <cell r="C308" t="str">
            <v>Health Choice Arizona ACO</v>
          </cell>
        </row>
        <row r="309">
          <cell r="A309">
            <v>9631</v>
          </cell>
          <cell r="B309" t="str">
            <v>Member Services</v>
          </cell>
          <cell r="C309" t="str">
            <v>Health Choice Utah ACO</v>
          </cell>
        </row>
        <row r="310">
          <cell r="A310">
            <v>9660</v>
          </cell>
          <cell r="B310" t="str">
            <v>Network</v>
          </cell>
          <cell r="C310" t="str">
            <v>Health Choice Arizona ACO</v>
          </cell>
        </row>
        <row r="311">
          <cell r="A311">
            <v>9661</v>
          </cell>
          <cell r="B311" t="str">
            <v>Network</v>
          </cell>
          <cell r="C311" t="str">
            <v>Health Choice Utah ACO</v>
          </cell>
        </row>
        <row r="312">
          <cell r="A312">
            <v>9690</v>
          </cell>
          <cell r="B312" t="str">
            <v>Project Management</v>
          </cell>
          <cell r="C312" t="str">
            <v>Health Choice Arizona ACO</v>
          </cell>
        </row>
        <row r="313">
          <cell r="A313">
            <v>9691</v>
          </cell>
          <cell r="B313" t="str">
            <v>Project Management</v>
          </cell>
          <cell r="C313" t="str">
            <v>Health Choice Utah ACO</v>
          </cell>
        </row>
        <row r="314">
          <cell r="A314">
            <v>9720</v>
          </cell>
          <cell r="B314" t="str">
            <v>Risk Adjustment</v>
          </cell>
          <cell r="C314" t="str">
            <v>Health Choice Arizona ACO</v>
          </cell>
        </row>
        <row r="315">
          <cell r="A315">
            <v>9721</v>
          </cell>
          <cell r="B315" t="str">
            <v>Risk Adjustment</v>
          </cell>
          <cell r="C315" t="str">
            <v>Health Choice Utah ACO</v>
          </cell>
        </row>
        <row r="316">
          <cell r="A316">
            <v>9750</v>
          </cell>
          <cell r="B316" t="str">
            <v>Work Room</v>
          </cell>
          <cell r="C316" t="str">
            <v>Health Choice Arizona ACO</v>
          </cell>
        </row>
        <row r="317">
          <cell r="A317">
            <v>9751</v>
          </cell>
          <cell r="B317" t="str">
            <v>Work Room</v>
          </cell>
          <cell r="C317" t="str">
            <v>Health Choice Utah ACO</v>
          </cell>
        </row>
      </sheetData>
      <sheetData sheetId="5"/>
      <sheetData sheetId="6"/>
      <sheetData sheetId="7"/>
      <sheetData sheetId="8"/>
      <sheetData sheetId="9"/>
      <sheetData sheetId="10"/>
      <sheetData sheetId="11"/>
      <sheetData sheetId="12">
        <row r="9">
          <cell r="N9">
            <v>6111208.9600000009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s>
    <sheetDataSet>
      <sheetData sheetId="0" refreshError="1"/>
      <sheetData sheetId="1">
        <row r="4">
          <cell r="M4" t="str">
            <v>Provider_ID</v>
          </cell>
          <cell r="N4" t="str">
            <v>Hospital_Name</v>
          </cell>
          <cell r="O4" t="str">
            <v>County_Code</v>
          </cell>
          <cell r="P4" t="str">
            <v>Urban_Rural</v>
          </cell>
        </row>
        <row r="5">
          <cell r="M5" t="str">
            <v>200743054001</v>
          </cell>
          <cell r="N5" t="str">
            <v>BLUE MOUNTAIN HOSPITAL</v>
          </cell>
          <cell r="O5" t="str">
            <v>19</v>
          </cell>
          <cell r="P5" t="str">
            <v>R</v>
          </cell>
        </row>
        <row r="6">
          <cell r="M6" t="str">
            <v>203800889001</v>
          </cell>
          <cell r="N6" t="str">
            <v>UTAH VALLEY SPECIALTY HOSP</v>
          </cell>
          <cell r="O6" t="str">
            <v>25</v>
          </cell>
          <cell r="P6" t="str">
            <v>U</v>
          </cell>
        </row>
        <row r="7">
          <cell r="M7" t="str">
            <v>362193608001</v>
          </cell>
          <cell r="N7" t="str">
            <v>SHRINERS HOSP FOR CHILDREN</v>
          </cell>
          <cell r="O7" t="str">
            <v>18</v>
          </cell>
          <cell r="P7" t="str">
            <v>U</v>
          </cell>
        </row>
        <row r="8">
          <cell r="M8" t="str">
            <v>364288180033</v>
          </cell>
          <cell r="N8" t="str">
            <v>CACHE VALLEY SPEC HOSP</v>
          </cell>
          <cell r="O8" t="str">
            <v>03</v>
          </cell>
          <cell r="P8" t="str">
            <v>U</v>
          </cell>
        </row>
        <row r="9">
          <cell r="M9" t="str">
            <v>621650573021</v>
          </cell>
          <cell r="N9" t="str">
            <v>ST MARKS HOSPITAL</v>
          </cell>
          <cell r="O9" t="str">
            <v>18</v>
          </cell>
          <cell r="P9" t="str">
            <v>U</v>
          </cell>
        </row>
        <row r="10">
          <cell r="A10" t="str">
            <v>Medicare_ID</v>
          </cell>
          <cell r="B10" t="str">
            <v>ProviderCountyCd</v>
          </cell>
          <cell r="C10" t="str">
            <v>UrbanRural</v>
          </cell>
          <cell r="D10" t="str">
            <v>Cases</v>
          </cell>
          <cell r="E10" t="str">
            <v>Total Days</v>
          </cell>
          <cell r="F10" t="str">
            <v>Total Allowed</v>
          </cell>
          <cell r="M10" t="str">
            <v>621762357001</v>
          </cell>
          <cell r="N10" t="str">
            <v>CASTLEVIEW HOSPITAL LLC</v>
          </cell>
          <cell r="O10" t="str">
            <v>04</v>
          </cell>
          <cell r="P10" t="str">
            <v>R</v>
          </cell>
        </row>
        <row r="11">
          <cell r="A11" t="str">
            <v>460001</v>
          </cell>
          <cell r="B11" t="str">
            <v>25</v>
          </cell>
          <cell r="C11" t="str">
            <v>Urban</v>
          </cell>
          <cell r="D11">
            <v>4221</v>
          </cell>
          <cell r="E11">
            <v>18569</v>
          </cell>
          <cell r="F11">
            <v>32143662.900000077</v>
          </cell>
          <cell r="M11" t="str">
            <v>621762532020</v>
          </cell>
          <cell r="N11" t="str">
            <v>ASHLEY REGIONAL MED CNTR</v>
          </cell>
          <cell r="O11" t="str">
            <v>24</v>
          </cell>
          <cell r="P11" t="str">
            <v>R</v>
          </cell>
        </row>
        <row r="12">
          <cell r="A12" t="str">
            <v>460003</v>
          </cell>
          <cell r="B12" t="str">
            <v>18</v>
          </cell>
          <cell r="C12" t="str">
            <v>Urban</v>
          </cell>
          <cell r="D12">
            <v>397</v>
          </cell>
          <cell r="E12">
            <v>1548</v>
          </cell>
          <cell r="F12">
            <v>3020634.3399999994</v>
          </cell>
          <cell r="M12" t="str">
            <v>621795214002</v>
          </cell>
          <cell r="N12" t="str">
            <v>SALT LAKE REG MED CNTR</v>
          </cell>
          <cell r="O12" t="str">
            <v>18</v>
          </cell>
          <cell r="P12" t="str">
            <v>U</v>
          </cell>
        </row>
        <row r="13">
          <cell r="A13" t="str">
            <v>460004</v>
          </cell>
          <cell r="B13" t="str">
            <v>29</v>
          </cell>
          <cell r="C13" t="str">
            <v>Urban</v>
          </cell>
          <cell r="D13">
            <v>3631</v>
          </cell>
          <cell r="E13">
            <v>13741</v>
          </cell>
          <cell r="F13">
            <v>22981326.989999998</v>
          </cell>
          <cell r="M13" t="str">
            <v>621795214003</v>
          </cell>
          <cell r="N13" t="str">
            <v>SALT LAKE REG MED PSYCH</v>
          </cell>
          <cell r="O13" t="str">
            <v>18</v>
          </cell>
          <cell r="P13" t="str">
            <v>U</v>
          </cell>
        </row>
        <row r="14">
          <cell r="A14" t="str">
            <v>460005</v>
          </cell>
          <cell r="B14" t="str">
            <v>18</v>
          </cell>
          <cell r="C14" t="str">
            <v>Urban</v>
          </cell>
          <cell r="D14">
            <v>470</v>
          </cell>
          <cell r="E14">
            <v>2133</v>
          </cell>
          <cell r="F14">
            <v>4236960.810000007</v>
          </cell>
          <cell r="M14" t="str">
            <v>621795214033</v>
          </cell>
          <cell r="N14" t="str">
            <v>SALT LAKE REG MED REHAB</v>
          </cell>
          <cell r="O14" t="str">
            <v>18</v>
          </cell>
          <cell r="P14" t="str">
            <v>U</v>
          </cell>
        </row>
        <row r="15">
          <cell r="A15" t="str">
            <v>460006</v>
          </cell>
          <cell r="B15" t="str">
            <v>18</v>
          </cell>
          <cell r="C15" t="str">
            <v>Urban</v>
          </cell>
          <cell r="D15">
            <v>2719</v>
          </cell>
          <cell r="E15">
            <v>8184</v>
          </cell>
          <cell r="F15">
            <v>13536321.360000039</v>
          </cell>
          <cell r="M15" t="str">
            <v>621795215000</v>
          </cell>
          <cell r="N15" t="str">
            <v>JORDAN VALLEY HOSPITAL INC</v>
          </cell>
          <cell r="O15" t="str">
            <v>18</v>
          </cell>
          <cell r="P15" t="str">
            <v>U</v>
          </cell>
        </row>
        <row r="16">
          <cell r="A16" t="str">
            <v>460007</v>
          </cell>
          <cell r="B16" t="str">
            <v>11</v>
          </cell>
          <cell r="C16" t="str">
            <v>Rural</v>
          </cell>
          <cell r="D16">
            <v>946</v>
          </cell>
          <cell r="E16">
            <v>1936</v>
          </cell>
          <cell r="F16">
            <v>4450073.8500000006</v>
          </cell>
          <cell r="M16" t="str">
            <v>621795216007</v>
          </cell>
          <cell r="N16" t="str">
            <v>PIONEER VALLEY HOSPITAL</v>
          </cell>
          <cell r="O16" t="str">
            <v>18</v>
          </cell>
          <cell r="P16" t="str">
            <v>U</v>
          </cell>
        </row>
        <row r="17">
          <cell r="A17" t="str">
            <v>460009</v>
          </cell>
          <cell r="B17" t="str">
            <v>18</v>
          </cell>
          <cell r="C17" t="str">
            <v>Urban</v>
          </cell>
          <cell r="D17">
            <v>3939</v>
          </cell>
          <cell r="E17">
            <v>19869</v>
          </cell>
          <cell r="F17">
            <v>41741910.239999346</v>
          </cell>
          <cell r="M17" t="str">
            <v>621831495013</v>
          </cell>
          <cell r="N17" t="str">
            <v>TIMPANOGOS REGIONAL HOSP</v>
          </cell>
          <cell r="O17" t="str">
            <v>25</v>
          </cell>
          <cell r="P17" t="str">
            <v>U</v>
          </cell>
        </row>
        <row r="18">
          <cell r="A18" t="str">
            <v>460010</v>
          </cell>
          <cell r="B18" t="str">
            <v>18</v>
          </cell>
          <cell r="C18" t="str">
            <v>Urban</v>
          </cell>
          <cell r="D18">
            <v>4194</v>
          </cell>
          <cell r="E18">
            <v>18390</v>
          </cell>
          <cell r="F18">
            <v>39583036.370000094</v>
          </cell>
          <cell r="M18" t="str">
            <v>631105917038</v>
          </cell>
          <cell r="N18" t="str">
            <v>HEALTHSOUTH REHAB HOSP</v>
          </cell>
          <cell r="O18" t="str">
            <v>18</v>
          </cell>
          <cell r="P18" t="str">
            <v>U</v>
          </cell>
        </row>
        <row r="19">
          <cell r="A19" t="str">
            <v>460011</v>
          </cell>
          <cell r="B19" t="str">
            <v>04</v>
          </cell>
          <cell r="C19" t="str">
            <v>Rural</v>
          </cell>
          <cell r="D19">
            <v>582</v>
          </cell>
          <cell r="E19">
            <v>1528</v>
          </cell>
          <cell r="F19">
            <v>3973028.350000002</v>
          </cell>
          <cell r="M19" t="str">
            <v>680562507001</v>
          </cell>
          <cell r="N19" t="str">
            <v>DAVIS HOSPITAL &amp; MED CNTR</v>
          </cell>
          <cell r="O19" t="str">
            <v>06</v>
          </cell>
          <cell r="P19" t="str">
            <v>U</v>
          </cell>
        </row>
        <row r="20">
          <cell r="A20" t="str">
            <v>460013</v>
          </cell>
          <cell r="B20" t="str">
            <v>25</v>
          </cell>
          <cell r="C20" t="str">
            <v>Urban</v>
          </cell>
          <cell r="D20">
            <v>539</v>
          </cell>
          <cell r="E20">
            <v>1486</v>
          </cell>
          <cell r="F20">
            <v>2185173.6700000041</v>
          </cell>
          <cell r="M20" t="str">
            <v>680562507004</v>
          </cell>
          <cell r="N20" t="str">
            <v>DAVIS HOSP MED CNTR PSYCH</v>
          </cell>
          <cell r="O20" t="str">
            <v>06</v>
          </cell>
          <cell r="P20" t="str">
            <v>U</v>
          </cell>
        </row>
        <row r="21">
          <cell r="A21" t="str">
            <v>460014</v>
          </cell>
          <cell r="B21" t="str">
            <v>23</v>
          </cell>
          <cell r="C21" t="str">
            <v>Rural</v>
          </cell>
          <cell r="D21">
            <v>485</v>
          </cell>
          <cell r="E21">
            <v>1123</v>
          </cell>
          <cell r="F21">
            <v>3741342.3799999966</v>
          </cell>
          <cell r="M21" t="str">
            <v>721254895009</v>
          </cell>
          <cell r="N21" t="str">
            <v>OGDEN REGIONAL MEDICAL CTR</v>
          </cell>
          <cell r="O21" t="str">
            <v>29</v>
          </cell>
          <cell r="P21" t="str">
            <v>U</v>
          </cell>
        </row>
        <row r="22">
          <cell r="A22" t="str">
            <v>460015</v>
          </cell>
          <cell r="B22" t="str">
            <v>03</v>
          </cell>
          <cell r="C22" t="str">
            <v>Urban</v>
          </cell>
          <cell r="D22">
            <v>2070</v>
          </cell>
          <cell r="E22">
            <v>4939</v>
          </cell>
          <cell r="F22">
            <v>7332467.9700000482</v>
          </cell>
          <cell r="M22" t="str">
            <v>820588653001</v>
          </cell>
          <cell r="N22" t="str">
            <v>JORDAN VALLEY HOSP LP</v>
          </cell>
          <cell r="O22" t="str">
            <v>18</v>
          </cell>
          <cell r="P22" t="str">
            <v>U</v>
          </cell>
        </row>
        <row r="23">
          <cell r="A23" t="str">
            <v>460017</v>
          </cell>
          <cell r="B23" t="str">
            <v>02</v>
          </cell>
          <cell r="C23" t="str">
            <v>Rural</v>
          </cell>
          <cell r="D23">
            <v>425</v>
          </cell>
          <cell r="E23">
            <v>948</v>
          </cell>
          <cell r="F23">
            <v>2212686.9</v>
          </cell>
          <cell r="M23" t="str">
            <v>820588653004</v>
          </cell>
          <cell r="N23" t="str">
            <v>JORDAN VALLEY MED PSYCH</v>
          </cell>
          <cell r="O23" t="str">
            <v>18</v>
          </cell>
          <cell r="P23" t="str">
            <v>U</v>
          </cell>
        </row>
        <row r="24">
          <cell r="A24" t="str">
            <v>460019</v>
          </cell>
          <cell r="B24" t="str">
            <v>07</v>
          </cell>
          <cell r="C24" t="str">
            <v>Rural</v>
          </cell>
          <cell r="D24">
            <v>574</v>
          </cell>
          <cell r="E24">
            <v>1434</v>
          </cell>
          <cell r="F24">
            <v>2522792.790000001</v>
          </cell>
          <cell r="M24" t="str">
            <v>870212456005</v>
          </cell>
          <cell r="N24" t="str">
            <v>GUNNISON VALLEY HOSPITAL</v>
          </cell>
          <cell r="O24" t="str">
            <v>20</v>
          </cell>
          <cell r="P24" t="str">
            <v>N</v>
          </cell>
        </row>
        <row r="25">
          <cell r="A25" t="str">
            <v>460021</v>
          </cell>
          <cell r="B25" t="str">
            <v>27</v>
          </cell>
          <cell r="C25" t="str">
            <v>Urban</v>
          </cell>
          <cell r="D25">
            <v>2466</v>
          </cell>
          <cell r="E25">
            <v>7530</v>
          </cell>
          <cell r="F25">
            <v>13852916.950000092</v>
          </cell>
          <cell r="M25" t="str">
            <v>870222074005</v>
          </cell>
          <cell r="N25" t="str">
            <v>MILFORD VALLEY MEM HOSP</v>
          </cell>
          <cell r="O25" t="str">
            <v>01</v>
          </cell>
          <cell r="P25" t="str">
            <v>N</v>
          </cell>
        </row>
        <row r="26">
          <cell r="A26" t="str">
            <v>460023</v>
          </cell>
          <cell r="B26" t="str">
            <v>25</v>
          </cell>
          <cell r="C26" t="str">
            <v>Urban</v>
          </cell>
          <cell r="D26">
            <v>1721</v>
          </cell>
          <cell r="E26">
            <v>4441</v>
          </cell>
          <cell r="F26">
            <v>5934320.769999993</v>
          </cell>
          <cell r="M26" t="str">
            <v>870269232020</v>
          </cell>
          <cell r="N26" t="str">
            <v>ALTA VIEW HOSPITAL</v>
          </cell>
          <cell r="O26" t="str">
            <v>18</v>
          </cell>
          <cell r="P26" t="str">
            <v>U</v>
          </cell>
        </row>
        <row r="27">
          <cell r="A27" t="str">
            <v>460026</v>
          </cell>
          <cell r="B27" t="str">
            <v>21</v>
          </cell>
          <cell r="C27" t="str">
            <v>Rural</v>
          </cell>
          <cell r="D27">
            <v>383</v>
          </cell>
          <cell r="E27">
            <v>795</v>
          </cell>
          <cell r="F27">
            <v>1769108.5700000005</v>
          </cell>
          <cell r="M27" t="str">
            <v>870269232033</v>
          </cell>
          <cell r="N27" t="str">
            <v>OREM COMMUNITY HOSPITAL</v>
          </cell>
          <cell r="O27" t="str">
            <v>25</v>
          </cell>
          <cell r="P27" t="str">
            <v>U</v>
          </cell>
        </row>
        <row r="28">
          <cell r="A28" t="str">
            <v>460030</v>
          </cell>
          <cell r="B28" t="str">
            <v>24</v>
          </cell>
          <cell r="C28" t="str">
            <v>Rural</v>
          </cell>
          <cell r="D28">
            <v>397</v>
          </cell>
          <cell r="E28">
            <v>942</v>
          </cell>
          <cell r="F28">
            <v>2163206.3999999994</v>
          </cell>
          <cell r="M28" t="str">
            <v>870269232162</v>
          </cell>
          <cell r="N28" t="str">
            <v>UTAH VALLEY REG MED CNTR</v>
          </cell>
          <cell r="O28" t="str">
            <v>25</v>
          </cell>
          <cell r="P28" t="str">
            <v>U</v>
          </cell>
        </row>
        <row r="29">
          <cell r="A29" t="str">
            <v>460033</v>
          </cell>
          <cell r="B29" t="str">
            <v>09</v>
          </cell>
          <cell r="C29" t="str">
            <v>Rural</v>
          </cell>
          <cell r="D29">
            <v>79</v>
          </cell>
          <cell r="E29">
            <v>182</v>
          </cell>
          <cell r="F29">
            <v>342693.93999999994</v>
          </cell>
          <cell r="M29" t="str">
            <v>870269232176</v>
          </cell>
          <cell r="N29" t="str">
            <v>LOGAN REGIONAL MED CENTER</v>
          </cell>
          <cell r="O29" t="str">
            <v>03</v>
          </cell>
          <cell r="P29" t="str">
            <v>U</v>
          </cell>
        </row>
        <row r="30">
          <cell r="A30" t="str">
            <v>460035</v>
          </cell>
          <cell r="B30" t="str">
            <v>01</v>
          </cell>
          <cell r="C30" t="str">
            <v>Rural</v>
          </cell>
          <cell r="D30">
            <v>131</v>
          </cell>
          <cell r="E30">
            <v>372</v>
          </cell>
          <cell r="F30">
            <v>541285.89999999991</v>
          </cell>
          <cell r="M30" t="str">
            <v>870269232180</v>
          </cell>
          <cell r="N30" t="str">
            <v>FILLMORE HOSPITAL</v>
          </cell>
          <cell r="O30" t="str">
            <v>14</v>
          </cell>
          <cell r="P30" t="str">
            <v>R</v>
          </cell>
        </row>
        <row r="31">
          <cell r="A31" t="str">
            <v>460039</v>
          </cell>
          <cell r="B31" t="str">
            <v>02</v>
          </cell>
          <cell r="C31" t="str">
            <v>Rural</v>
          </cell>
          <cell r="D31">
            <v>83</v>
          </cell>
          <cell r="E31">
            <v>165</v>
          </cell>
          <cell r="F31">
            <v>403621.96000000014</v>
          </cell>
          <cell r="M31" t="str">
            <v>870269232209</v>
          </cell>
          <cell r="N31" t="str">
            <v>LDS HOSPITAL</v>
          </cell>
          <cell r="O31" t="str">
            <v>18</v>
          </cell>
          <cell r="P31" t="str">
            <v>U</v>
          </cell>
        </row>
        <row r="32">
          <cell r="A32" t="str">
            <v>460041</v>
          </cell>
          <cell r="B32" t="str">
            <v>06</v>
          </cell>
          <cell r="C32" t="str">
            <v>Urban</v>
          </cell>
          <cell r="D32">
            <v>444</v>
          </cell>
          <cell r="E32">
            <v>1452</v>
          </cell>
          <cell r="F32">
            <v>2443021.2700000028</v>
          </cell>
          <cell r="M32" t="str">
            <v>870269232212</v>
          </cell>
          <cell r="N32" t="str">
            <v>AMERICAN FORK HOSPITAL</v>
          </cell>
          <cell r="O32" t="str">
            <v>25</v>
          </cell>
          <cell r="P32" t="str">
            <v>U</v>
          </cell>
        </row>
        <row r="33">
          <cell r="A33" t="str">
            <v>460042</v>
          </cell>
          <cell r="B33" t="str">
            <v>06</v>
          </cell>
          <cell r="C33" t="str">
            <v>Urban</v>
          </cell>
          <cell r="D33">
            <v>252</v>
          </cell>
          <cell r="E33">
            <v>1336</v>
          </cell>
          <cell r="F33">
            <v>1777190.82</v>
          </cell>
          <cell r="M33" t="str">
            <v>870269232257</v>
          </cell>
          <cell r="N33" t="str">
            <v>DELTA COMMUNITY MED CNTR</v>
          </cell>
          <cell r="O33" t="str">
            <v>14</v>
          </cell>
          <cell r="P33" t="str">
            <v>R</v>
          </cell>
        </row>
        <row r="34">
          <cell r="A34" t="str">
            <v>460043</v>
          </cell>
          <cell r="B34" t="str">
            <v>25</v>
          </cell>
          <cell r="C34" t="str">
            <v>Urban</v>
          </cell>
          <cell r="D34">
            <v>1107</v>
          </cell>
          <cell r="E34">
            <v>2441</v>
          </cell>
          <cell r="F34">
            <v>2504332.23</v>
          </cell>
          <cell r="M34" t="str">
            <v>870269232261</v>
          </cell>
          <cell r="N34" t="str">
            <v>DIXIE MEDICAL CENTER</v>
          </cell>
          <cell r="O34" t="str">
            <v>27</v>
          </cell>
          <cell r="P34" t="str">
            <v>U</v>
          </cell>
        </row>
        <row r="35">
          <cell r="A35" t="str">
            <v>460044</v>
          </cell>
          <cell r="B35" t="str">
            <v>18</v>
          </cell>
          <cell r="C35" t="str">
            <v>Urban</v>
          </cell>
          <cell r="D35">
            <v>936</v>
          </cell>
          <cell r="E35">
            <v>2490</v>
          </cell>
          <cell r="F35">
            <v>3008594.3799999868</v>
          </cell>
          <cell r="M35" t="str">
            <v>870269232274</v>
          </cell>
          <cell r="N35" t="str">
            <v>MCKAY DEE HOSPITAL</v>
          </cell>
          <cell r="O35" t="str">
            <v>29</v>
          </cell>
          <cell r="P35" t="str">
            <v>U</v>
          </cell>
        </row>
        <row r="36">
          <cell r="A36" t="str">
            <v>460047</v>
          </cell>
          <cell r="B36" t="str">
            <v>18</v>
          </cell>
          <cell r="C36" t="str">
            <v>Urban</v>
          </cell>
          <cell r="D36">
            <v>872</v>
          </cell>
          <cell r="E36">
            <v>4772</v>
          </cell>
          <cell r="F36">
            <v>9317556.8000000119</v>
          </cell>
          <cell r="M36" t="str">
            <v>870269232288</v>
          </cell>
          <cell r="N36" t="str">
            <v>SANPETE VALLEY HOSPITAL</v>
          </cell>
          <cell r="O36" t="str">
            <v>20</v>
          </cell>
          <cell r="P36" t="str">
            <v>R</v>
          </cell>
        </row>
        <row r="37">
          <cell r="A37" t="str">
            <v>460049</v>
          </cell>
          <cell r="B37" t="str">
            <v>18</v>
          </cell>
          <cell r="C37" t="str">
            <v>Urban</v>
          </cell>
          <cell r="D37">
            <v>33</v>
          </cell>
          <cell r="E37">
            <v>81</v>
          </cell>
          <cell r="F37">
            <v>400192.63</v>
          </cell>
          <cell r="M37" t="str">
            <v>870269232291</v>
          </cell>
          <cell r="N37" t="str">
            <v>BEAR RIVER VALLEY HOSPITAL</v>
          </cell>
          <cell r="O37" t="str">
            <v>02</v>
          </cell>
          <cell r="P37" t="str">
            <v>R</v>
          </cell>
        </row>
        <row r="38">
          <cell r="A38" t="str">
            <v>460051</v>
          </cell>
          <cell r="B38" t="str">
            <v>18</v>
          </cell>
          <cell r="C38" t="str">
            <v>Urban</v>
          </cell>
          <cell r="D38">
            <v>2599</v>
          </cell>
          <cell r="E38">
            <v>7097</v>
          </cell>
          <cell r="F38">
            <v>10683858.910000091</v>
          </cell>
          <cell r="M38" t="str">
            <v>870269232307</v>
          </cell>
          <cell r="N38" t="str">
            <v>VALLEY VIEW MEDICAL CTR</v>
          </cell>
          <cell r="O38" t="str">
            <v>11</v>
          </cell>
          <cell r="P38" t="str">
            <v>R</v>
          </cell>
        </row>
        <row r="39">
          <cell r="A39" t="str">
            <v>460052</v>
          </cell>
          <cell r="B39" t="str">
            <v>25</v>
          </cell>
          <cell r="C39" t="str">
            <v>Urban</v>
          </cell>
          <cell r="D39">
            <v>312</v>
          </cell>
          <cell r="E39">
            <v>1352</v>
          </cell>
          <cell r="F39">
            <v>2521000.7999999993</v>
          </cell>
          <cell r="M39" t="str">
            <v>870269232324</v>
          </cell>
          <cell r="N39" t="str">
            <v>SEVIER VALLEY MEDICAL CNTR</v>
          </cell>
          <cell r="O39" t="str">
            <v>21</v>
          </cell>
          <cell r="P39" t="str">
            <v>R</v>
          </cell>
        </row>
        <row r="40">
          <cell r="A40" t="str">
            <v>460054</v>
          </cell>
          <cell r="B40" t="str">
            <v>03</v>
          </cell>
          <cell r="C40" t="str">
            <v>Urban</v>
          </cell>
          <cell r="D40">
            <v>32</v>
          </cell>
          <cell r="E40">
            <v>107</v>
          </cell>
          <cell r="F40">
            <v>279242.55000000005</v>
          </cell>
          <cell r="M40" t="str">
            <v>870269232338</v>
          </cell>
          <cell r="N40" t="str">
            <v>INTERMOUNTAIN MEDICAL CENTER</v>
          </cell>
          <cell r="O40" t="str">
            <v>18</v>
          </cell>
          <cell r="P40" t="str">
            <v>U</v>
          </cell>
        </row>
        <row r="41">
          <cell r="A41" t="str">
            <v>460056</v>
          </cell>
          <cell r="B41" t="str">
            <v>19</v>
          </cell>
          <cell r="C41" t="str">
            <v>Rural</v>
          </cell>
          <cell r="D41">
            <v>168</v>
          </cell>
          <cell r="E41">
            <v>347</v>
          </cell>
          <cell r="F41">
            <v>639880.58000000007</v>
          </cell>
          <cell r="M41" t="str">
            <v>870269232341</v>
          </cell>
          <cell r="N41" t="str">
            <v>HEBER VALLEY MEDICAL CTR</v>
          </cell>
          <cell r="O41" t="str">
            <v>26</v>
          </cell>
          <cell r="P41" t="str">
            <v>R</v>
          </cell>
        </row>
        <row r="42">
          <cell r="A42" t="str">
            <v>460057</v>
          </cell>
          <cell r="B42" t="str">
            <v>22</v>
          </cell>
          <cell r="C42" t="str">
            <v>Rural</v>
          </cell>
          <cell r="D42">
            <v>82</v>
          </cell>
          <cell r="E42">
            <v>151</v>
          </cell>
          <cell r="F42">
            <v>412173.73</v>
          </cell>
          <cell r="M42" t="str">
            <v>870269232565</v>
          </cell>
          <cell r="N42" t="str">
            <v>LDS HOSPITAL-PSYCH</v>
          </cell>
          <cell r="O42" t="str">
            <v>18</v>
          </cell>
          <cell r="P42" t="str">
            <v>U</v>
          </cell>
        </row>
        <row r="43">
          <cell r="A43" t="str">
            <v>461300</v>
          </cell>
          <cell r="B43" t="str">
            <v>14</v>
          </cell>
          <cell r="C43" t="str">
            <v>Rural</v>
          </cell>
          <cell r="D43">
            <v>128</v>
          </cell>
          <cell r="E43">
            <v>243</v>
          </cell>
          <cell r="F43">
            <v>497569.47000000009</v>
          </cell>
          <cell r="M43" t="str">
            <v>870270956005</v>
          </cell>
          <cell r="N43" t="str">
            <v xml:space="preserve">MOAB REGIONAL HOSPITAL                            </v>
          </cell>
          <cell r="O43" t="str">
            <v>10</v>
          </cell>
          <cell r="P43" t="str">
            <v>R</v>
          </cell>
        </row>
        <row r="44">
          <cell r="A44" t="str">
            <v>461301</v>
          </cell>
          <cell r="B44" t="str">
            <v>14</v>
          </cell>
          <cell r="C44" t="str">
            <v>Rural</v>
          </cell>
          <cell r="D44">
            <v>95</v>
          </cell>
          <cell r="E44">
            <v>213</v>
          </cell>
          <cell r="F44">
            <v>470354.25999999989</v>
          </cell>
          <cell r="M44" t="str">
            <v>870271937004</v>
          </cell>
          <cell r="N44" t="str">
            <v>BEAVER VALLEY HOSPITAL</v>
          </cell>
          <cell r="O44" t="str">
            <v>01</v>
          </cell>
          <cell r="P44" t="str">
            <v>N</v>
          </cell>
        </row>
        <row r="45">
          <cell r="A45" t="str">
            <v>461302</v>
          </cell>
          <cell r="B45" t="str">
            <v>10</v>
          </cell>
          <cell r="C45" t="str">
            <v>Rural</v>
          </cell>
          <cell r="D45">
            <v>174</v>
          </cell>
          <cell r="E45">
            <v>467</v>
          </cell>
          <cell r="F45">
            <v>1015775.0899999999</v>
          </cell>
          <cell r="M45" t="str">
            <v>870276435005</v>
          </cell>
          <cell r="N45" t="str">
            <v>UINTAH BASIN MEDICAL CNTR</v>
          </cell>
          <cell r="O45" t="str">
            <v>07</v>
          </cell>
          <cell r="P45" t="str">
            <v>R</v>
          </cell>
        </row>
        <row r="46">
          <cell r="A46" t="str">
            <v>461303</v>
          </cell>
          <cell r="B46" t="str">
            <v>20</v>
          </cell>
          <cell r="C46" t="str">
            <v>Rural</v>
          </cell>
          <cell r="D46">
            <v>201</v>
          </cell>
          <cell r="E46">
            <v>497</v>
          </cell>
          <cell r="F46">
            <v>1206128.6300000001</v>
          </cell>
          <cell r="M46" t="str">
            <v>870318837007</v>
          </cell>
          <cell r="N46" t="str">
            <v>BRIGHAM CITY COMM HOSP</v>
          </cell>
          <cell r="O46" t="str">
            <v>02</v>
          </cell>
          <cell r="P46" t="str">
            <v>R</v>
          </cell>
        </row>
        <row r="47">
          <cell r="A47" t="str">
            <v>461304</v>
          </cell>
          <cell r="B47" t="str">
            <v>12</v>
          </cell>
          <cell r="C47" t="str">
            <v>Rural</v>
          </cell>
          <cell r="D47">
            <v>279</v>
          </cell>
          <cell r="E47">
            <v>796</v>
          </cell>
          <cell r="F47">
            <v>1752995.0899999989</v>
          </cell>
          <cell r="M47" t="str">
            <v>870322019001</v>
          </cell>
          <cell r="N47" t="str">
            <v>LAKEVIEW HOSPITAL</v>
          </cell>
          <cell r="O47" t="str">
            <v>06</v>
          </cell>
          <cell r="P47" t="str">
            <v>U</v>
          </cell>
        </row>
        <row r="48">
          <cell r="A48" t="str">
            <v>461305</v>
          </cell>
          <cell r="B48" t="str">
            <v>01</v>
          </cell>
          <cell r="C48" t="str">
            <v>Rural</v>
          </cell>
          <cell r="D48">
            <v>2</v>
          </cell>
          <cell r="E48">
            <v>1</v>
          </cell>
          <cell r="F48">
            <v>1017.01</v>
          </cell>
          <cell r="M48" t="str">
            <v>870333048001</v>
          </cell>
          <cell r="N48" t="str">
            <v>MOUNTAIN VIEW HOSPITAL</v>
          </cell>
          <cell r="O48" t="str">
            <v>25</v>
          </cell>
          <cell r="P48" t="str">
            <v>U</v>
          </cell>
        </row>
        <row r="49">
          <cell r="A49" t="str">
            <v>461306</v>
          </cell>
          <cell r="B49" t="str">
            <v>20</v>
          </cell>
          <cell r="C49" t="str">
            <v>Rural</v>
          </cell>
          <cell r="D49">
            <v>221</v>
          </cell>
          <cell r="E49">
            <v>545</v>
          </cell>
          <cell r="F49">
            <v>640867.25999999954</v>
          </cell>
          <cell r="M49" t="str">
            <v>870467930003</v>
          </cell>
          <cell r="N49" t="str">
            <v>KANE COUNTY HOSPITAL</v>
          </cell>
          <cell r="O49" t="str">
            <v>13</v>
          </cell>
          <cell r="P49" t="str">
            <v>N</v>
          </cell>
        </row>
        <row r="50">
          <cell r="A50" t="str">
            <v>461307</v>
          </cell>
          <cell r="B50" t="str">
            <v>26</v>
          </cell>
          <cell r="C50" t="str">
            <v>Rural</v>
          </cell>
          <cell r="D50">
            <v>168</v>
          </cell>
          <cell r="E50">
            <v>297</v>
          </cell>
          <cell r="F50">
            <v>602170.5199999999</v>
          </cell>
          <cell r="M50" t="str">
            <v>870619248011</v>
          </cell>
          <cell r="N50" t="str">
            <v>MOUNTAIN WEST MEDICAL CNTR</v>
          </cell>
          <cell r="O50" t="str">
            <v>23</v>
          </cell>
          <cell r="P50" t="str">
            <v>R</v>
          </cell>
        </row>
        <row r="51">
          <cell r="A51" t="str">
            <v>461308</v>
          </cell>
          <cell r="B51" t="str">
            <v>19</v>
          </cell>
          <cell r="C51" t="str">
            <v>Rural</v>
          </cell>
          <cell r="D51">
            <v>111</v>
          </cell>
          <cell r="E51">
            <v>216</v>
          </cell>
          <cell r="F51">
            <v>507139.45999999996</v>
          </cell>
          <cell r="M51" t="str">
            <v>876000309018</v>
          </cell>
          <cell r="N51" t="str">
            <v>GARFIELD MEMORIAL HOSP</v>
          </cell>
          <cell r="O51" t="str">
            <v>09</v>
          </cell>
          <cell r="P51" t="str">
            <v>N</v>
          </cell>
        </row>
        <row r="52">
          <cell r="A52" t="str">
            <v>461309</v>
          </cell>
          <cell r="B52" t="str">
            <v>13</v>
          </cell>
          <cell r="C52" t="str">
            <v>Rural</v>
          </cell>
          <cell r="D52">
            <v>52</v>
          </cell>
          <cell r="E52">
            <v>93</v>
          </cell>
          <cell r="F52">
            <v>184532.58999999994</v>
          </cell>
          <cell r="M52" t="str">
            <v>876000525088</v>
          </cell>
          <cell r="N52" t="str">
            <v>UNIVERSITY OF UTAH HOSP</v>
          </cell>
          <cell r="O52" t="str">
            <v>18</v>
          </cell>
          <cell r="P52" t="str">
            <v>U</v>
          </cell>
        </row>
        <row r="53">
          <cell r="A53" t="str">
            <v>462004</v>
          </cell>
          <cell r="B53" t="str">
            <v>18</v>
          </cell>
          <cell r="C53" t="str">
            <v>Urban</v>
          </cell>
          <cell r="D53">
            <v>15</v>
          </cell>
          <cell r="E53">
            <v>781</v>
          </cell>
          <cell r="F53">
            <v>1322809.03</v>
          </cell>
          <cell r="M53" t="str">
            <v>876000525494</v>
          </cell>
          <cell r="N53" t="str">
            <v>UNIVERSITY HOSPITAL PSYCH</v>
          </cell>
          <cell r="O53" t="str">
            <v>18</v>
          </cell>
          <cell r="P53" t="str">
            <v>U</v>
          </cell>
        </row>
        <row r="54">
          <cell r="A54" t="str">
            <v>462005</v>
          </cell>
          <cell r="B54" t="str">
            <v>25</v>
          </cell>
          <cell r="C54" t="str">
            <v>Urban</v>
          </cell>
          <cell r="D54">
            <v>82</v>
          </cell>
          <cell r="E54">
            <v>231</v>
          </cell>
          <cell r="F54">
            <v>1833038.4600000002</v>
          </cell>
          <cell r="M54" t="str">
            <v>876000525500</v>
          </cell>
          <cell r="N54" t="str">
            <v>UNIVERSITY HOSPITAL REHAB</v>
          </cell>
          <cell r="O54" t="str">
            <v>18</v>
          </cell>
          <cell r="P54" t="str">
            <v>U</v>
          </cell>
        </row>
        <row r="55">
          <cell r="A55" t="str">
            <v>463025</v>
          </cell>
          <cell r="B55" t="str">
            <v>18</v>
          </cell>
          <cell r="C55" t="str">
            <v>Urban</v>
          </cell>
          <cell r="D55">
            <v>1</v>
          </cell>
          <cell r="E55">
            <v>20</v>
          </cell>
          <cell r="F55">
            <v>12849.63</v>
          </cell>
          <cell r="M55" t="str">
            <v>876000545001</v>
          </cell>
          <cell r="N55" t="str">
            <v>UTAH STATE HOSPITAL</v>
          </cell>
          <cell r="O55" t="str">
            <v>25</v>
          </cell>
          <cell r="P55" t="str">
            <v>S</v>
          </cell>
        </row>
        <row r="56">
          <cell r="A56" t="str">
            <v>463301</v>
          </cell>
          <cell r="B56" t="str">
            <v>18</v>
          </cell>
          <cell r="C56" t="str">
            <v>Urban</v>
          </cell>
          <cell r="D56">
            <v>2521</v>
          </cell>
          <cell r="E56">
            <v>16405</v>
          </cell>
          <cell r="F56">
            <v>39976387.000000067</v>
          </cell>
          <cell r="M56" t="str">
            <v>876000616019</v>
          </cell>
          <cell r="N56" t="str">
            <v>SAN JUAN HOSPITAL</v>
          </cell>
          <cell r="O56" t="str">
            <v>19</v>
          </cell>
          <cell r="P56" t="str">
            <v>F</v>
          </cell>
        </row>
        <row r="57">
          <cell r="A57" t="str">
            <v>469002</v>
          </cell>
          <cell r="B57" t="str">
            <v>25</v>
          </cell>
          <cell r="C57" t="str">
            <v>Urban</v>
          </cell>
          <cell r="D57">
            <v>17</v>
          </cell>
          <cell r="E57">
            <v>167</v>
          </cell>
          <cell r="F57">
            <v>272723.77</v>
          </cell>
          <cell r="M57" t="str">
            <v>876000887008</v>
          </cell>
          <cell r="N57" t="str">
            <v>CENTRAL VALLEY MEDICAL CTR</v>
          </cell>
          <cell r="O57" t="str">
            <v>12</v>
          </cell>
          <cell r="P57" t="str">
            <v>R</v>
          </cell>
        </row>
        <row r="58">
          <cell r="A58" t="str">
            <v>469003</v>
          </cell>
          <cell r="B58" t="str">
            <v>18</v>
          </cell>
          <cell r="C58" t="str">
            <v>Urban</v>
          </cell>
          <cell r="D58">
            <v>250</v>
          </cell>
          <cell r="E58">
            <v>591</v>
          </cell>
          <cell r="F58">
            <v>620154.07999999961</v>
          </cell>
          <cell r="M58" t="str">
            <v>942854057033</v>
          </cell>
          <cell r="N58" t="str">
            <v>ORTHOPEDIC SPECIALTY HOSP</v>
          </cell>
          <cell r="O58" t="str">
            <v>18</v>
          </cell>
          <cell r="P58" t="str">
            <v>U</v>
          </cell>
        </row>
        <row r="59">
          <cell r="M59" t="str">
            <v>942854057066</v>
          </cell>
          <cell r="N59" t="str">
            <v>MCKAY DEE HOSP PSYCH UNIT</v>
          </cell>
          <cell r="O59" t="str">
            <v>29</v>
          </cell>
          <cell r="P59" t="str">
            <v>U</v>
          </cell>
        </row>
        <row r="60">
          <cell r="M60" t="str">
            <v>942854057083</v>
          </cell>
          <cell r="N60" t="str">
            <v>MCKAY DEE HOSP REHAB UNIT</v>
          </cell>
          <cell r="O60" t="str">
            <v>29</v>
          </cell>
          <cell r="P60" t="str">
            <v>U</v>
          </cell>
        </row>
        <row r="61">
          <cell r="M61" t="str">
            <v>942854057178</v>
          </cell>
          <cell r="N61" t="str">
            <v>PRIMARY CHILDRENS REHAB</v>
          </cell>
          <cell r="O61" t="str">
            <v>18</v>
          </cell>
          <cell r="P61" t="str">
            <v>C</v>
          </cell>
        </row>
        <row r="62">
          <cell r="M62" t="str">
            <v>942854057197</v>
          </cell>
          <cell r="N62" t="str">
            <v>PARK CITY MEDICAL CENTER</v>
          </cell>
          <cell r="O62" t="str">
            <v>22</v>
          </cell>
          <cell r="P62" t="str">
            <v>R</v>
          </cell>
        </row>
        <row r="63">
          <cell r="M63" t="str">
            <v>942854057201</v>
          </cell>
          <cell r="N63" t="str">
            <v>UTAH VALLEY HOSP PSYCH</v>
          </cell>
          <cell r="O63" t="str">
            <v>25</v>
          </cell>
          <cell r="P63" t="str">
            <v>U</v>
          </cell>
        </row>
        <row r="64">
          <cell r="M64" t="str">
            <v>942854057207</v>
          </cell>
          <cell r="N64" t="str">
            <v>IHC RIVERTON HOSPITAL</v>
          </cell>
          <cell r="O64" t="str">
            <v>18</v>
          </cell>
          <cell r="P64" t="str">
            <v>U</v>
          </cell>
        </row>
        <row r="65">
          <cell r="M65" t="str">
            <v>942854057911</v>
          </cell>
          <cell r="N65" t="str">
            <v>UTAH VALLEY REHABILITATION</v>
          </cell>
          <cell r="O65" t="str">
            <v>25</v>
          </cell>
          <cell r="P65" t="str">
            <v>U</v>
          </cell>
        </row>
        <row r="66">
          <cell r="M66" t="str">
            <v>942854058113</v>
          </cell>
          <cell r="N66" t="str">
            <v>INTERMOUNTAIN MED CNTR REHAB</v>
          </cell>
          <cell r="O66" t="str">
            <v>18</v>
          </cell>
          <cell r="P66" t="str">
            <v>U</v>
          </cell>
        </row>
        <row r="67">
          <cell r="M67" t="str">
            <v>942854058211</v>
          </cell>
          <cell r="N67" t="str">
            <v>PRIMARY CHILDRENS MED CNTR</v>
          </cell>
          <cell r="O67" t="str">
            <v>18</v>
          </cell>
          <cell r="P67" t="str">
            <v>U</v>
          </cell>
        </row>
        <row r="68">
          <cell r="M68" t="str">
            <v>943430659001</v>
          </cell>
          <cell r="N68" t="str">
            <v>PROMISE SPECIALTY HOSP SL</v>
          </cell>
          <cell r="O68" t="str">
            <v>18</v>
          </cell>
          <cell r="P68" t="str">
            <v>U</v>
          </cell>
        </row>
      </sheetData>
      <sheetData sheetId="2">
        <row r="7">
          <cell r="B7" t="str">
            <v>460001</v>
          </cell>
        </row>
      </sheetData>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0 Audit Report "/>
      <sheetName val="6.1.1 RPT1 "/>
      <sheetName val="6.1.2 RPT2"/>
      <sheetName val="6.1.2A RPT2 (GSA 52)"/>
      <sheetName val="6.1.2A RPT2 (GSA 42)"/>
      <sheetName val="6.1.2B RPT2 (Maricopa)"/>
      <sheetName val="6.1.2B RPT2 (Yuma)"/>
      <sheetName val="6.1.2B RPT2 (LaPaz)"/>
      <sheetName val="6.1.3 RPT3"/>
      <sheetName val="6.1.4 RPT 4"/>
      <sheetName val="6.1.5 RPT5"/>
      <sheetName val="6.1.6 RPT 6"/>
      <sheetName val="6.1.7 RPT 7"/>
      <sheetName val="Q2 6.1.7 RPT 7"/>
      <sheetName val="6.1.8 FQHC Mbr Months"/>
      <sheetName val="6.1.8A FQHC Payments"/>
      <sheetName val="6.1.9 HIV SUPP"/>
      <sheetName val="6.1.9 HIV Detail"/>
      <sheetName val="6.7 Spouse as Paid Caregiver "/>
      <sheetName val="6.2 Certification Stmt"/>
    </sheetNames>
    <sheetDataSet>
      <sheetData sheetId="0" refreshError="1">
        <row r="4">
          <cell r="I4" t="str">
            <v>9/30/2009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raphs"/>
      <sheetName val="QUERIES"/>
      <sheetName val="PHARMACY"/>
      <sheetName val="REVENUE"/>
      <sheetName val="INPATIENT "/>
      <sheetName val="SNF "/>
      <sheetName val="Readmits Maternity"/>
      <sheetName val="Readmits Normal"/>
      <sheetName val="Readmits Rehab"/>
      <sheetName val="Sheet1"/>
    </sheetNames>
    <sheetDataSet>
      <sheetData sheetId="0">
        <row r="2">
          <cell r="H2">
            <v>40574</v>
          </cell>
          <cell r="I2">
            <v>40602</v>
          </cell>
          <cell r="J2">
            <v>40633</v>
          </cell>
          <cell r="K2">
            <v>40663</v>
          </cell>
          <cell r="L2">
            <v>40694</v>
          </cell>
          <cell r="M2">
            <v>40724</v>
          </cell>
          <cell r="N2">
            <v>40755</v>
          </cell>
          <cell r="O2">
            <v>40786</v>
          </cell>
          <cell r="P2">
            <v>40816</v>
          </cell>
          <cell r="Q2">
            <v>40847</v>
          </cell>
          <cell r="R2">
            <v>40877</v>
          </cell>
          <cell r="S2">
            <v>40908</v>
          </cell>
          <cell r="T2">
            <v>40939</v>
          </cell>
          <cell r="U2">
            <v>40968</v>
          </cell>
          <cell r="V2">
            <v>40999</v>
          </cell>
          <cell r="W2">
            <v>41029</v>
          </cell>
          <cell r="X2">
            <v>41060</v>
          </cell>
          <cell r="Y2">
            <v>41090</v>
          </cell>
          <cell r="Z2">
            <v>41121</v>
          </cell>
          <cell r="AA2">
            <v>41152</v>
          </cell>
          <cell r="AB2">
            <v>41182</v>
          </cell>
          <cell r="AC2">
            <v>41213</v>
          </cell>
          <cell r="AD2">
            <v>41243</v>
          </cell>
          <cell r="AE2">
            <v>41274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 val="ACO Payments"/>
    </sheetNames>
    <sheetDataSet>
      <sheetData sheetId="0"/>
      <sheetData sheetId="1"/>
      <sheetData sheetId="2">
        <row r="7">
          <cell r="B7" t="str">
            <v>460001</v>
          </cell>
          <cell r="C7">
            <v>40179</v>
          </cell>
          <cell r="D7">
            <v>40543</v>
          </cell>
          <cell r="E7">
            <v>16215</v>
          </cell>
          <cell r="F7">
            <v>1149</v>
          </cell>
          <cell r="G7">
            <v>335</v>
          </cell>
          <cell r="H7">
            <v>17699</v>
          </cell>
          <cell r="I7">
            <v>1</v>
          </cell>
          <cell r="J7">
            <v>17699</v>
          </cell>
        </row>
        <row r="8">
          <cell r="B8" t="str">
            <v>460003</v>
          </cell>
          <cell r="C8">
            <v>40057</v>
          </cell>
          <cell r="D8">
            <v>40421</v>
          </cell>
          <cell r="E8">
            <v>4434</v>
          </cell>
          <cell r="F8">
            <v>189</v>
          </cell>
          <cell r="G8">
            <v>321</v>
          </cell>
          <cell r="H8">
            <v>4944</v>
          </cell>
          <cell r="I8">
            <v>1</v>
          </cell>
          <cell r="J8">
            <v>4944</v>
          </cell>
        </row>
        <row r="9">
          <cell r="B9" t="str">
            <v>460004</v>
          </cell>
          <cell r="C9">
            <v>40179</v>
          </cell>
          <cell r="D9">
            <v>40543</v>
          </cell>
          <cell r="E9">
            <v>15044</v>
          </cell>
          <cell r="F9">
            <v>229</v>
          </cell>
          <cell r="G9">
            <v>2049</v>
          </cell>
          <cell r="H9">
            <v>17322</v>
          </cell>
          <cell r="I9">
            <v>1</v>
          </cell>
          <cell r="J9">
            <v>17322</v>
          </cell>
        </row>
        <row r="10">
          <cell r="B10" t="str">
            <v>460005</v>
          </cell>
          <cell r="C10">
            <v>40330</v>
          </cell>
          <cell r="D10">
            <v>40694</v>
          </cell>
          <cell r="E10">
            <v>7291</v>
          </cell>
          <cell r="H10">
            <v>7291</v>
          </cell>
          <cell r="I10">
            <v>1</v>
          </cell>
          <cell r="J10">
            <v>7291</v>
          </cell>
        </row>
        <row r="11">
          <cell r="B11" t="str">
            <v>460006</v>
          </cell>
          <cell r="C11">
            <v>40179</v>
          </cell>
          <cell r="D11">
            <v>40543</v>
          </cell>
          <cell r="E11">
            <v>8596</v>
          </cell>
          <cell r="F11">
            <v>1402</v>
          </cell>
          <cell r="H11">
            <v>9998</v>
          </cell>
          <cell r="I11">
            <v>1</v>
          </cell>
          <cell r="J11">
            <v>9998</v>
          </cell>
        </row>
        <row r="12">
          <cell r="B12" t="str">
            <v>460007</v>
          </cell>
          <cell r="C12">
            <v>40179</v>
          </cell>
          <cell r="D12">
            <v>40543</v>
          </cell>
          <cell r="E12">
            <v>2588</v>
          </cell>
          <cell r="H12">
            <v>2588</v>
          </cell>
          <cell r="I12">
            <v>1</v>
          </cell>
          <cell r="J12">
            <v>2588</v>
          </cell>
        </row>
        <row r="13">
          <cell r="B13" t="str">
            <v>460009</v>
          </cell>
          <cell r="C13">
            <v>40360</v>
          </cell>
          <cell r="D13">
            <v>40724</v>
          </cell>
          <cell r="E13">
            <v>26271</v>
          </cell>
          <cell r="F13">
            <v>857</v>
          </cell>
          <cell r="G13">
            <v>735</v>
          </cell>
          <cell r="H13">
            <v>27863</v>
          </cell>
          <cell r="I13">
            <v>1</v>
          </cell>
          <cell r="J13">
            <v>27863</v>
          </cell>
        </row>
        <row r="14">
          <cell r="B14" t="str">
            <v>460010</v>
          </cell>
          <cell r="C14">
            <v>40179</v>
          </cell>
          <cell r="D14">
            <v>40543</v>
          </cell>
          <cell r="E14">
            <v>24253</v>
          </cell>
          <cell r="G14">
            <v>375</v>
          </cell>
          <cell r="H14">
            <v>24628</v>
          </cell>
          <cell r="I14">
            <v>1</v>
          </cell>
          <cell r="J14">
            <v>24628</v>
          </cell>
        </row>
        <row r="15">
          <cell r="B15" t="str">
            <v>460011</v>
          </cell>
          <cell r="C15">
            <v>40179</v>
          </cell>
          <cell r="D15">
            <v>40543</v>
          </cell>
          <cell r="E15">
            <v>1674</v>
          </cell>
          <cell r="H15">
            <v>1674</v>
          </cell>
          <cell r="I15">
            <v>1</v>
          </cell>
          <cell r="J15">
            <v>1674</v>
          </cell>
        </row>
        <row r="16">
          <cell r="B16" t="str">
            <v>460013</v>
          </cell>
          <cell r="C16">
            <v>40057</v>
          </cell>
          <cell r="D16">
            <v>40421</v>
          </cell>
          <cell r="E16">
            <v>3046</v>
          </cell>
          <cell r="H16">
            <v>3046</v>
          </cell>
          <cell r="I16">
            <v>1</v>
          </cell>
          <cell r="J16">
            <v>3046</v>
          </cell>
        </row>
        <row r="17">
          <cell r="B17" t="str">
            <v>460014</v>
          </cell>
          <cell r="C17">
            <v>40179</v>
          </cell>
          <cell r="D17">
            <v>40543</v>
          </cell>
          <cell r="E17">
            <v>2301</v>
          </cell>
          <cell r="H17">
            <v>2301</v>
          </cell>
          <cell r="I17">
            <v>1</v>
          </cell>
          <cell r="J17">
            <v>2301</v>
          </cell>
        </row>
        <row r="18">
          <cell r="B18" t="str">
            <v>460015</v>
          </cell>
          <cell r="C18">
            <v>40179</v>
          </cell>
          <cell r="D18">
            <v>40543</v>
          </cell>
          <cell r="E18">
            <v>5820</v>
          </cell>
          <cell r="F18">
            <v>419</v>
          </cell>
          <cell r="H18">
            <v>6239</v>
          </cell>
          <cell r="I18">
            <v>1</v>
          </cell>
          <cell r="J18">
            <v>6239</v>
          </cell>
        </row>
        <row r="19">
          <cell r="B19" t="str">
            <v>460017</v>
          </cell>
          <cell r="C19">
            <v>40057</v>
          </cell>
          <cell r="D19">
            <v>40421</v>
          </cell>
          <cell r="E19">
            <v>1024</v>
          </cell>
          <cell r="H19">
            <v>1024</v>
          </cell>
          <cell r="I19">
            <v>1</v>
          </cell>
          <cell r="J19">
            <v>1024</v>
          </cell>
        </row>
        <row r="20">
          <cell r="B20" t="str">
            <v>460019</v>
          </cell>
          <cell r="C20">
            <v>40360</v>
          </cell>
          <cell r="D20">
            <v>40724</v>
          </cell>
          <cell r="E20">
            <v>1596</v>
          </cell>
          <cell r="H20">
            <v>1596</v>
          </cell>
          <cell r="I20">
            <v>1</v>
          </cell>
          <cell r="J20">
            <v>1596</v>
          </cell>
        </row>
        <row r="21">
          <cell r="B21" t="str">
            <v>460021</v>
          </cell>
          <cell r="C21">
            <v>40179</v>
          </cell>
          <cell r="D21">
            <v>40543</v>
          </cell>
          <cell r="E21">
            <v>13277</v>
          </cell>
          <cell r="F21">
            <v>485</v>
          </cell>
          <cell r="G21">
            <v>266</v>
          </cell>
          <cell r="H21">
            <v>14028</v>
          </cell>
          <cell r="I21">
            <v>1</v>
          </cell>
          <cell r="J21">
            <v>14028</v>
          </cell>
        </row>
        <row r="22">
          <cell r="B22" t="str">
            <v>460023</v>
          </cell>
          <cell r="C22">
            <v>40179</v>
          </cell>
          <cell r="D22">
            <v>40543</v>
          </cell>
          <cell r="E22">
            <v>6394</v>
          </cell>
          <cell r="H22">
            <v>6394</v>
          </cell>
          <cell r="I22">
            <v>1</v>
          </cell>
          <cell r="J22">
            <v>6394</v>
          </cell>
        </row>
        <row r="23">
          <cell r="B23" t="str">
            <v>460026</v>
          </cell>
          <cell r="C23">
            <v>40179</v>
          </cell>
          <cell r="D23">
            <v>40543</v>
          </cell>
          <cell r="E23">
            <v>928</v>
          </cell>
          <cell r="H23">
            <v>928</v>
          </cell>
          <cell r="I23">
            <v>1</v>
          </cell>
          <cell r="J23">
            <v>928</v>
          </cell>
        </row>
        <row r="24">
          <cell r="B24" t="str">
            <v>460030</v>
          </cell>
          <cell r="C24">
            <v>40210</v>
          </cell>
          <cell r="D24">
            <v>40574</v>
          </cell>
          <cell r="E24">
            <v>1403</v>
          </cell>
          <cell r="H24">
            <v>1403</v>
          </cell>
          <cell r="I24">
            <v>1</v>
          </cell>
          <cell r="J24">
            <v>1403</v>
          </cell>
        </row>
        <row r="25">
          <cell r="B25" t="str">
            <v>460033</v>
          </cell>
          <cell r="C25">
            <v>40179</v>
          </cell>
          <cell r="D25">
            <v>40543</v>
          </cell>
          <cell r="E25">
            <v>365</v>
          </cell>
          <cell r="H25">
            <v>365</v>
          </cell>
          <cell r="I25">
            <v>1</v>
          </cell>
          <cell r="J25">
            <v>365</v>
          </cell>
        </row>
        <row r="26">
          <cell r="B26" t="str">
            <v>460035</v>
          </cell>
          <cell r="C26">
            <v>40360</v>
          </cell>
          <cell r="D26">
            <v>40724</v>
          </cell>
          <cell r="E26">
            <v>408</v>
          </cell>
          <cell r="H26">
            <v>408</v>
          </cell>
          <cell r="I26">
            <v>1</v>
          </cell>
          <cell r="J26">
            <v>408</v>
          </cell>
        </row>
        <row r="27">
          <cell r="B27" t="str">
            <v>460039</v>
          </cell>
          <cell r="C27">
            <v>40179</v>
          </cell>
          <cell r="D27">
            <v>40543</v>
          </cell>
          <cell r="E27">
            <v>377</v>
          </cell>
          <cell r="H27">
            <v>377</v>
          </cell>
          <cell r="I27">
            <v>1</v>
          </cell>
          <cell r="J27">
            <v>377</v>
          </cell>
        </row>
        <row r="28">
          <cell r="B28" t="str">
            <v>460041</v>
          </cell>
          <cell r="C28">
            <v>40269</v>
          </cell>
          <cell r="D28">
            <v>40633</v>
          </cell>
          <cell r="E28">
            <v>7424</v>
          </cell>
          <cell r="F28">
            <v>95</v>
          </cell>
          <cell r="G28">
            <v>766</v>
          </cell>
          <cell r="H28">
            <v>8285</v>
          </cell>
          <cell r="I28">
            <v>1</v>
          </cell>
          <cell r="J28">
            <v>8285</v>
          </cell>
        </row>
        <row r="29">
          <cell r="B29" t="str">
            <v>460042</v>
          </cell>
          <cell r="C29">
            <v>40087</v>
          </cell>
          <cell r="D29">
            <v>40451</v>
          </cell>
          <cell r="E29">
            <v>3927</v>
          </cell>
          <cell r="F29">
            <v>156</v>
          </cell>
          <cell r="H29">
            <v>4083</v>
          </cell>
          <cell r="I29">
            <v>1</v>
          </cell>
          <cell r="J29">
            <v>4083</v>
          </cell>
        </row>
        <row r="30">
          <cell r="B30" t="str">
            <v>460043</v>
          </cell>
          <cell r="C30">
            <v>40179</v>
          </cell>
          <cell r="D30">
            <v>40543</v>
          </cell>
          <cell r="E30">
            <v>1502</v>
          </cell>
          <cell r="H30">
            <v>1502</v>
          </cell>
          <cell r="I30">
            <v>1</v>
          </cell>
          <cell r="J30">
            <v>1502</v>
          </cell>
        </row>
        <row r="31">
          <cell r="B31" t="str">
            <v>460044</v>
          </cell>
          <cell r="C31">
            <v>40179</v>
          </cell>
          <cell r="D31">
            <v>40543</v>
          </cell>
          <cell r="E31">
            <v>4199</v>
          </cell>
          <cell r="H31">
            <v>4199</v>
          </cell>
          <cell r="I31">
            <v>1</v>
          </cell>
          <cell r="J31">
            <v>4199</v>
          </cell>
        </row>
        <row r="32">
          <cell r="B32" t="str">
            <v>460047</v>
          </cell>
          <cell r="C32">
            <v>40360</v>
          </cell>
          <cell r="D32">
            <v>40724</v>
          </cell>
          <cell r="E32">
            <v>14281</v>
          </cell>
          <cell r="H32">
            <v>14281</v>
          </cell>
          <cell r="I32">
            <v>1</v>
          </cell>
          <cell r="J32">
            <v>14281</v>
          </cell>
        </row>
        <row r="33">
          <cell r="B33" t="str">
            <v>460049</v>
          </cell>
          <cell r="C33">
            <v>40179</v>
          </cell>
          <cell r="D33">
            <v>40543</v>
          </cell>
          <cell r="E33">
            <v>1693</v>
          </cell>
          <cell r="H33">
            <v>1693</v>
          </cell>
          <cell r="I33">
            <v>1</v>
          </cell>
          <cell r="J33">
            <v>1693</v>
          </cell>
        </row>
        <row r="34">
          <cell r="B34" t="str">
            <v>460051</v>
          </cell>
          <cell r="C34">
            <v>40360</v>
          </cell>
          <cell r="D34">
            <v>40724</v>
          </cell>
          <cell r="E34">
            <v>12196</v>
          </cell>
          <cell r="G34">
            <v>60</v>
          </cell>
          <cell r="H34">
            <v>12256</v>
          </cell>
          <cell r="I34">
            <v>1</v>
          </cell>
          <cell r="J34">
            <v>12256</v>
          </cell>
        </row>
        <row r="35">
          <cell r="B35" t="str">
            <v>460052</v>
          </cell>
          <cell r="C35">
            <v>40179</v>
          </cell>
          <cell r="D35">
            <v>40543</v>
          </cell>
          <cell r="E35">
            <v>4228</v>
          </cell>
          <cell r="H35">
            <v>4228</v>
          </cell>
          <cell r="I35">
            <v>1</v>
          </cell>
          <cell r="J35">
            <v>4228</v>
          </cell>
        </row>
        <row r="36">
          <cell r="B36" t="str">
            <v>460054</v>
          </cell>
          <cell r="C36">
            <v>40179</v>
          </cell>
          <cell r="D36">
            <v>40543</v>
          </cell>
          <cell r="E36">
            <v>839</v>
          </cell>
          <cell r="H36">
            <v>839</v>
          </cell>
          <cell r="I36">
            <v>1</v>
          </cell>
          <cell r="J36">
            <v>839</v>
          </cell>
        </row>
        <row r="37">
          <cell r="B37" t="str">
            <v>460056</v>
          </cell>
          <cell r="C37">
            <v>40359</v>
          </cell>
          <cell r="D37">
            <v>40543</v>
          </cell>
          <cell r="E37">
            <v>232</v>
          </cell>
          <cell r="H37">
            <v>232</v>
          </cell>
          <cell r="I37">
            <v>0.50410958904109593</v>
          </cell>
          <cell r="J37">
            <v>460</v>
          </cell>
        </row>
        <row r="38">
          <cell r="B38" t="str">
            <v>460057</v>
          </cell>
          <cell r="C38">
            <v>40179</v>
          </cell>
          <cell r="D38">
            <v>40543</v>
          </cell>
          <cell r="E38">
            <v>1091</v>
          </cell>
          <cell r="H38">
            <v>1091</v>
          </cell>
          <cell r="I38">
            <v>1</v>
          </cell>
          <cell r="J38">
            <v>1091</v>
          </cell>
        </row>
        <row r="39">
          <cell r="B39" t="str">
            <v>461300</v>
          </cell>
          <cell r="C39">
            <v>40179</v>
          </cell>
          <cell r="D39">
            <v>40543</v>
          </cell>
          <cell r="E39">
            <v>241</v>
          </cell>
          <cell r="H39">
            <v>241</v>
          </cell>
          <cell r="I39">
            <v>1</v>
          </cell>
          <cell r="J39">
            <v>241</v>
          </cell>
        </row>
        <row r="40">
          <cell r="B40" t="str">
            <v>461301</v>
          </cell>
          <cell r="C40">
            <v>40179</v>
          </cell>
          <cell r="D40">
            <v>40543</v>
          </cell>
          <cell r="E40">
            <v>191</v>
          </cell>
          <cell r="H40">
            <v>191</v>
          </cell>
          <cell r="I40">
            <v>1</v>
          </cell>
          <cell r="J40">
            <v>191</v>
          </cell>
        </row>
        <row r="41">
          <cell r="B41" t="str">
            <v>461302</v>
          </cell>
          <cell r="C41">
            <v>40179</v>
          </cell>
          <cell r="D41">
            <v>40543</v>
          </cell>
          <cell r="E41">
            <v>399</v>
          </cell>
          <cell r="H41">
            <v>399</v>
          </cell>
          <cell r="I41">
            <v>1</v>
          </cell>
          <cell r="J41">
            <v>399</v>
          </cell>
        </row>
        <row r="42">
          <cell r="B42" t="str">
            <v>461303</v>
          </cell>
          <cell r="C42">
            <v>40179</v>
          </cell>
          <cell r="D42">
            <v>40543</v>
          </cell>
          <cell r="E42">
            <v>682</v>
          </cell>
          <cell r="H42">
            <v>682</v>
          </cell>
          <cell r="I42">
            <v>1</v>
          </cell>
          <cell r="J42">
            <v>682</v>
          </cell>
        </row>
        <row r="43">
          <cell r="B43" t="str">
            <v>461304</v>
          </cell>
          <cell r="C43">
            <v>40360</v>
          </cell>
          <cell r="D43">
            <v>40724</v>
          </cell>
          <cell r="E43">
            <v>1023</v>
          </cell>
          <cell r="H43">
            <v>1023</v>
          </cell>
          <cell r="I43">
            <v>1</v>
          </cell>
          <cell r="J43">
            <v>1023</v>
          </cell>
        </row>
        <row r="44">
          <cell r="B44" t="str">
            <v>461305</v>
          </cell>
          <cell r="C44">
            <v>40179</v>
          </cell>
          <cell r="D44">
            <v>40543</v>
          </cell>
          <cell r="E44">
            <v>49</v>
          </cell>
          <cell r="H44">
            <v>49</v>
          </cell>
          <cell r="I44">
            <v>1</v>
          </cell>
          <cell r="J44">
            <v>49</v>
          </cell>
        </row>
        <row r="45">
          <cell r="B45" t="str">
            <v>461306</v>
          </cell>
          <cell r="C45">
            <v>40360</v>
          </cell>
          <cell r="D45">
            <v>40724</v>
          </cell>
          <cell r="E45">
            <v>800</v>
          </cell>
          <cell r="H45">
            <v>800</v>
          </cell>
          <cell r="I45">
            <v>1</v>
          </cell>
          <cell r="J45">
            <v>800</v>
          </cell>
        </row>
        <row r="46">
          <cell r="B46" t="str">
            <v>461307</v>
          </cell>
          <cell r="C46">
            <v>40179</v>
          </cell>
          <cell r="D46">
            <v>40543</v>
          </cell>
          <cell r="E46">
            <v>380</v>
          </cell>
          <cell r="H46">
            <v>380</v>
          </cell>
          <cell r="I46">
            <v>1</v>
          </cell>
          <cell r="J46">
            <v>380</v>
          </cell>
        </row>
        <row r="47">
          <cell r="B47" t="str">
            <v>461308</v>
          </cell>
          <cell r="C47">
            <v>40179</v>
          </cell>
          <cell r="D47">
            <v>40543</v>
          </cell>
          <cell r="E47">
            <v>549</v>
          </cell>
          <cell r="H47">
            <v>549</v>
          </cell>
          <cell r="I47">
            <v>1</v>
          </cell>
          <cell r="J47">
            <v>549</v>
          </cell>
        </row>
        <row r="48">
          <cell r="B48" t="str">
            <v>461309</v>
          </cell>
          <cell r="C48">
            <v>40179</v>
          </cell>
          <cell r="D48">
            <v>40543</v>
          </cell>
          <cell r="E48">
            <v>179</v>
          </cell>
          <cell r="H48">
            <v>179</v>
          </cell>
          <cell r="I48">
            <v>1</v>
          </cell>
          <cell r="J48">
            <v>179</v>
          </cell>
        </row>
        <row r="49">
          <cell r="B49" t="str">
            <v>462003</v>
          </cell>
          <cell r="C49">
            <v>40179</v>
          </cell>
          <cell r="D49">
            <v>40543</v>
          </cell>
          <cell r="E49">
            <v>95</v>
          </cell>
          <cell r="H49">
            <v>95</v>
          </cell>
          <cell r="I49">
            <v>1</v>
          </cell>
          <cell r="J49">
            <v>95</v>
          </cell>
        </row>
        <row r="50">
          <cell r="B50" t="str">
            <v>462004</v>
          </cell>
          <cell r="C50">
            <v>40210</v>
          </cell>
          <cell r="D50">
            <v>40574</v>
          </cell>
          <cell r="E50">
            <v>316</v>
          </cell>
          <cell r="H50">
            <v>316</v>
          </cell>
          <cell r="I50">
            <v>1</v>
          </cell>
          <cell r="J50">
            <v>316</v>
          </cell>
        </row>
        <row r="51">
          <cell r="B51" t="str">
            <v>462005</v>
          </cell>
          <cell r="C51">
            <v>40360</v>
          </cell>
          <cell r="D51">
            <v>40724</v>
          </cell>
          <cell r="E51">
            <v>440</v>
          </cell>
          <cell r="H51">
            <v>440</v>
          </cell>
          <cell r="I51">
            <v>1</v>
          </cell>
          <cell r="J51">
            <v>440</v>
          </cell>
        </row>
        <row r="52">
          <cell r="B52" t="str">
            <v>463025</v>
          </cell>
          <cell r="C52">
            <v>40179</v>
          </cell>
          <cell r="D52">
            <v>40543</v>
          </cell>
          <cell r="E52">
            <v>550</v>
          </cell>
          <cell r="H52">
            <v>550</v>
          </cell>
          <cell r="I52">
            <v>1</v>
          </cell>
          <cell r="J52">
            <v>550</v>
          </cell>
        </row>
        <row r="53">
          <cell r="B53" t="str">
            <v>463301</v>
          </cell>
          <cell r="C53">
            <v>40179</v>
          </cell>
          <cell r="D53">
            <v>40543</v>
          </cell>
          <cell r="E53">
            <v>12986</v>
          </cell>
          <cell r="H53">
            <v>12986</v>
          </cell>
          <cell r="I53">
            <v>1</v>
          </cell>
          <cell r="J53">
            <v>12986</v>
          </cell>
        </row>
        <row r="54">
          <cell r="B54" t="str">
            <v>464001</v>
          </cell>
          <cell r="C54">
            <v>40360</v>
          </cell>
          <cell r="D54">
            <v>40724</v>
          </cell>
          <cell r="E54">
            <v>435</v>
          </cell>
          <cell r="H54">
            <v>435</v>
          </cell>
          <cell r="I54">
            <v>1</v>
          </cell>
          <cell r="J54">
            <v>435</v>
          </cell>
        </row>
        <row r="55">
          <cell r="B55" t="str">
            <v>464007</v>
          </cell>
          <cell r="C55">
            <v>39995</v>
          </cell>
          <cell r="D55">
            <v>40359</v>
          </cell>
          <cell r="E55">
            <v>61</v>
          </cell>
          <cell r="H55">
            <v>61</v>
          </cell>
          <cell r="I55">
            <v>1</v>
          </cell>
          <cell r="J55">
            <v>61</v>
          </cell>
        </row>
        <row r="56">
          <cell r="B56" t="str">
            <v>464009</v>
          </cell>
          <cell r="C56">
            <v>40360</v>
          </cell>
          <cell r="D56">
            <v>40724</v>
          </cell>
          <cell r="E56">
            <v>3427</v>
          </cell>
          <cell r="H56">
            <v>3427</v>
          </cell>
          <cell r="I56">
            <v>1</v>
          </cell>
          <cell r="J56">
            <v>3427</v>
          </cell>
        </row>
        <row r="57">
          <cell r="B57" t="str">
            <v>464012</v>
          </cell>
          <cell r="C57">
            <v>40360</v>
          </cell>
          <cell r="D57">
            <v>40574</v>
          </cell>
          <cell r="E57">
            <v>160</v>
          </cell>
          <cell r="H57">
            <v>160</v>
          </cell>
          <cell r="I57">
            <v>0.58630136986301373</v>
          </cell>
          <cell r="J57">
            <v>273</v>
          </cell>
        </row>
        <row r="58">
          <cell r="B58" t="str">
            <v>999100</v>
          </cell>
          <cell r="C58">
            <v>40452</v>
          </cell>
          <cell r="D58">
            <v>40816</v>
          </cell>
          <cell r="E58">
            <v>69</v>
          </cell>
          <cell r="H58">
            <v>69</v>
          </cell>
          <cell r="I58">
            <v>1</v>
          </cell>
          <cell r="J58">
            <v>69</v>
          </cell>
        </row>
        <row r="59">
          <cell r="B59" t="str">
            <v>999101</v>
          </cell>
          <cell r="C59">
            <v>40452</v>
          </cell>
          <cell r="D59">
            <v>40816</v>
          </cell>
          <cell r="E59">
            <v>242</v>
          </cell>
          <cell r="H59">
            <v>242</v>
          </cell>
          <cell r="I59">
            <v>1</v>
          </cell>
          <cell r="J59">
            <v>242</v>
          </cell>
        </row>
        <row r="60">
          <cell r="B60" t="str">
            <v>999103</v>
          </cell>
          <cell r="C60">
            <v>40452</v>
          </cell>
          <cell r="D60">
            <v>40816</v>
          </cell>
          <cell r="E60">
            <v>1616</v>
          </cell>
          <cell r="H60">
            <v>1616</v>
          </cell>
          <cell r="I60">
            <v>1</v>
          </cell>
          <cell r="J60">
            <v>1616</v>
          </cell>
        </row>
        <row r="61">
          <cell r="B61" t="str">
            <v>999104</v>
          </cell>
          <cell r="C61">
            <v>40452</v>
          </cell>
          <cell r="D61">
            <v>40816</v>
          </cell>
          <cell r="E61">
            <v>88</v>
          </cell>
          <cell r="H61">
            <v>88</v>
          </cell>
          <cell r="I61">
            <v>1</v>
          </cell>
          <cell r="J61">
            <v>88</v>
          </cell>
        </row>
        <row r="62">
          <cell r="B62" t="str">
            <v>460058</v>
          </cell>
          <cell r="C62">
            <v>40150</v>
          </cell>
          <cell r="D62">
            <v>40543</v>
          </cell>
          <cell r="E62">
            <v>3564</v>
          </cell>
          <cell r="H62">
            <v>3564</v>
          </cell>
          <cell r="I62">
            <v>1.0767123287671232</v>
          </cell>
          <cell r="J62">
            <v>3310</v>
          </cell>
        </row>
        <row r="63">
          <cell r="B63" t="str">
            <v>463302</v>
          </cell>
          <cell r="C63">
            <v>40472</v>
          </cell>
          <cell r="D63">
            <v>40543</v>
          </cell>
          <cell r="E63">
            <v>138</v>
          </cell>
          <cell r="H63">
            <v>138</v>
          </cell>
          <cell r="I63">
            <v>1</v>
          </cell>
          <cell r="J63">
            <v>138</v>
          </cell>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phy Table"/>
      <sheetName val="June reconciliation"/>
      <sheetName val="Journal Entry"/>
      <sheetName val="fqhc tbl"/>
      <sheetName val="hiv summary for rpt"/>
      <sheetName val="hiv drugs"/>
      <sheetName val="Sheet1"/>
      <sheetName val="AllHivdrugs"/>
    </sheetNames>
    <sheetDataSet>
      <sheetData sheetId="0" refreshError="1">
        <row r="3">
          <cell r="B3" t="str">
            <v>1001</v>
          </cell>
          <cell r="C3" t="str">
            <v>TANF &lt;1 M/F</v>
          </cell>
          <cell r="D3" t="str">
            <v>1004080</v>
          </cell>
          <cell r="E3" t="str">
            <v>CATEGORICAL</v>
          </cell>
          <cell r="F3" t="str">
            <v>TANF &lt;1 M/F WITH MEDICARE</v>
          </cell>
        </row>
        <row r="4">
          <cell r="B4" t="str">
            <v>1002</v>
          </cell>
          <cell r="C4" t="str">
            <v>TANF 1-13 M/F</v>
          </cell>
          <cell r="D4" t="str">
            <v>1004081</v>
          </cell>
          <cell r="E4" t="str">
            <v>CATEGORICAL</v>
          </cell>
          <cell r="F4" t="str">
            <v>TANF 1-5 M/F WITH MEDICARE</v>
          </cell>
        </row>
        <row r="5">
          <cell r="B5" t="str">
            <v>1003</v>
          </cell>
          <cell r="C5" t="str">
            <v>TANF 1-13 M/F</v>
          </cell>
          <cell r="D5" t="str">
            <v>1004081</v>
          </cell>
          <cell r="E5" t="str">
            <v>CATEGORICAL</v>
          </cell>
          <cell r="F5" t="str">
            <v>TANF 6-13 M/F WITH MEDICARE</v>
          </cell>
        </row>
        <row r="6">
          <cell r="B6" t="str">
            <v>1004</v>
          </cell>
          <cell r="C6" t="str">
            <v>TANF 14-44 M</v>
          </cell>
          <cell r="D6" t="str">
            <v>1004083</v>
          </cell>
          <cell r="E6" t="str">
            <v>CATEGORICAL</v>
          </cell>
          <cell r="F6" t="str">
            <v>TANF 14-20 MALE WITH MEDICARE</v>
          </cell>
        </row>
        <row r="7">
          <cell r="B7" t="str">
            <v>1005</v>
          </cell>
          <cell r="C7" t="str">
            <v>TANF 14-44 F</v>
          </cell>
          <cell r="D7" t="str">
            <v>1004082</v>
          </cell>
          <cell r="E7" t="str">
            <v>CATEGORICAL</v>
          </cell>
          <cell r="F7" t="str">
            <v>TANF 14-20 FEMALE WITH MEDICARE</v>
          </cell>
        </row>
        <row r="8">
          <cell r="B8" t="str">
            <v>1006</v>
          </cell>
          <cell r="C8" t="str">
            <v>TANF 14-44 M</v>
          </cell>
          <cell r="D8" t="str">
            <v>1004083</v>
          </cell>
          <cell r="E8" t="str">
            <v>CATEGORICAL</v>
          </cell>
          <cell r="F8" t="str">
            <v>TANF 21-44 MALE WITH MEDICARE</v>
          </cell>
        </row>
        <row r="9">
          <cell r="B9" t="str">
            <v>1007</v>
          </cell>
          <cell r="C9" t="str">
            <v>TANF 14-44 F</v>
          </cell>
          <cell r="D9" t="str">
            <v>1004082</v>
          </cell>
          <cell r="E9" t="str">
            <v>CATEGORICAL</v>
          </cell>
          <cell r="F9" t="str">
            <v>TANF 21-44 FEMALE WITH MEDICARE</v>
          </cell>
        </row>
        <row r="10">
          <cell r="B10" t="str">
            <v>1008</v>
          </cell>
          <cell r="C10" t="str">
            <v>TANF 45+</v>
          </cell>
          <cell r="D10" t="str">
            <v>1004084</v>
          </cell>
          <cell r="E10" t="str">
            <v>CATEGORICAL</v>
          </cell>
          <cell r="F10" t="str">
            <v>TANF 45-64 M/F WITH MEDICARE</v>
          </cell>
        </row>
        <row r="11">
          <cell r="B11" t="str">
            <v>1009</v>
          </cell>
          <cell r="C11" t="str">
            <v>TANF 45+</v>
          </cell>
          <cell r="D11" t="str">
            <v>1004084</v>
          </cell>
          <cell r="E11" t="str">
            <v>CATEGORICAL</v>
          </cell>
          <cell r="F11" t="str">
            <v>TANF 65+ M/F WITH MEDICARE</v>
          </cell>
        </row>
        <row r="12">
          <cell r="B12" t="str">
            <v>1011</v>
          </cell>
          <cell r="C12" t="str">
            <v>TANF &lt;1 M/F</v>
          </cell>
          <cell r="D12" t="str">
            <v>1004080</v>
          </cell>
          <cell r="E12" t="str">
            <v>CATEGORICAL</v>
          </cell>
          <cell r="F12" t="str">
            <v>TANF &lt;1 M/F NON-MEDICARE</v>
          </cell>
        </row>
        <row r="13">
          <cell r="B13" t="str">
            <v>1012</v>
          </cell>
          <cell r="C13" t="str">
            <v>TANF 1-13 M/F</v>
          </cell>
          <cell r="D13" t="str">
            <v>1004081</v>
          </cell>
          <cell r="E13" t="str">
            <v>CATEGORICAL</v>
          </cell>
          <cell r="F13" t="str">
            <v>TANF 1-5 M/F NON-MEDICARE</v>
          </cell>
        </row>
        <row r="14">
          <cell r="B14" t="str">
            <v>1013</v>
          </cell>
          <cell r="C14" t="str">
            <v>TANF 1-13 M/F</v>
          </cell>
          <cell r="D14" t="str">
            <v>1004081</v>
          </cell>
          <cell r="E14" t="str">
            <v>CATEGORICAL</v>
          </cell>
          <cell r="F14" t="str">
            <v>TANF 6-13 M/F NON-MEDICARE</v>
          </cell>
        </row>
        <row r="15">
          <cell r="B15" t="str">
            <v>1014</v>
          </cell>
          <cell r="C15" t="str">
            <v>TANF 14-44 M</v>
          </cell>
          <cell r="D15" t="str">
            <v>1004083</v>
          </cell>
          <cell r="E15" t="str">
            <v>CATEGORICAL</v>
          </cell>
          <cell r="F15" t="str">
            <v>TANF 14-20 MALE NON-MEDICARE</v>
          </cell>
        </row>
        <row r="16">
          <cell r="B16" t="str">
            <v>1015</v>
          </cell>
          <cell r="C16" t="str">
            <v>TANF 14-44 F</v>
          </cell>
          <cell r="D16" t="str">
            <v>1004082</v>
          </cell>
          <cell r="E16" t="str">
            <v>CATEGORICAL</v>
          </cell>
          <cell r="F16" t="str">
            <v>TANF 14-20 FEMALE NON-MEDICARE</v>
          </cell>
        </row>
        <row r="17">
          <cell r="B17" t="str">
            <v>1016</v>
          </cell>
          <cell r="C17" t="str">
            <v>TANF 14-44 M</v>
          </cell>
          <cell r="D17" t="str">
            <v>1004083</v>
          </cell>
          <cell r="E17" t="str">
            <v>CATEGORICAL</v>
          </cell>
          <cell r="F17" t="str">
            <v>TANF 21-44 MALE NON-MEDICARE</v>
          </cell>
        </row>
        <row r="18">
          <cell r="B18" t="str">
            <v>1017</v>
          </cell>
          <cell r="C18" t="str">
            <v>TANF 14-44 F</v>
          </cell>
          <cell r="D18" t="str">
            <v>1004082</v>
          </cell>
          <cell r="E18" t="str">
            <v>CATEGORICAL</v>
          </cell>
          <cell r="F18" t="str">
            <v>TANF 21-44 FEMALE NON-MEDICARE</v>
          </cell>
        </row>
        <row r="19">
          <cell r="B19" t="str">
            <v>1018</v>
          </cell>
          <cell r="C19" t="str">
            <v>TANF 45+</v>
          </cell>
          <cell r="D19" t="str">
            <v>1004084</v>
          </cell>
          <cell r="E19" t="str">
            <v>CATEGORICAL</v>
          </cell>
          <cell r="F19" t="str">
            <v>TANF 45-64 M/F NON-MEDICARE</v>
          </cell>
        </row>
        <row r="20">
          <cell r="B20" t="str">
            <v>1019</v>
          </cell>
          <cell r="C20" t="str">
            <v>TANF 45+</v>
          </cell>
          <cell r="D20" t="str">
            <v>1004084</v>
          </cell>
          <cell r="E20" t="str">
            <v>CATEGORICAL</v>
          </cell>
          <cell r="F20" t="str">
            <v>TANF 65+ M/F NON-MEDICARE</v>
          </cell>
        </row>
        <row r="21">
          <cell r="B21" t="str">
            <v>1021</v>
          </cell>
          <cell r="C21" t="str">
            <v>TANF &lt;1 M/F</v>
          </cell>
          <cell r="D21" t="str">
            <v>1004080</v>
          </cell>
          <cell r="E21" t="str">
            <v>CATEGORICAL</v>
          </cell>
          <cell r="F21" t="str">
            <v>TANF &lt;1 M/F WITH QMB</v>
          </cell>
        </row>
        <row r="22">
          <cell r="B22" t="str">
            <v>1022</v>
          </cell>
          <cell r="C22" t="str">
            <v>TANF 1-13 M/F</v>
          </cell>
          <cell r="D22" t="str">
            <v>1004081</v>
          </cell>
          <cell r="E22" t="str">
            <v>CATEGORICAL</v>
          </cell>
          <cell r="F22" t="str">
            <v>TANF 1-5 M/F WITH QMB</v>
          </cell>
        </row>
        <row r="23">
          <cell r="B23" t="str">
            <v>1023</v>
          </cell>
          <cell r="C23" t="str">
            <v>TANF 1-13 M/F</v>
          </cell>
          <cell r="D23" t="str">
            <v>1004081</v>
          </cell>
          <cell r="E23" t="str">
            <v>CATEGORICAL</v>
          </cell>
          <cell r="F23" t="str">
            <v>TANF 6-13 M/F WITH QMB</v>
          </cell>
        </row>
        <row r="24">
          <cell r="B24" t="str">
            <v>1024</v>
          </cell>
          <cell r="C24" t="str">
            <v>TANF 14-44 M</v>
          </cell>
          <cell r="D24" t="str">
            <v>1004083</v>
          </cell>
          <cell r="E24" t="str">
            <v>CATEGORICAL</v>
          </cell>
          <cell r="F24" t="str">
            <v>TANF 14-20 MALE WITH QMB</v>
          </cell>
        </row>
        <row r="25">
          <cell r="B25" t="str">
            <v>1025</v>
          </cell>
          <cell r="C25" t="str">
            <v>TANF 14-44 F</v>
          </cell>
          <cell r="D25" t="str">
            <v>1004082</v>
          </cell>
          <cell r="E25" t="str">
            <v>CATEGORICAL</v>
          </cell>
          <cell r="F25" t="str">
            <v>TANF 14-20 FEMALE WITH QMB</v>
          </cell>
        </row>
        <row r="26">
          <cell r="B26" t="str">
            <v>1026</v>
          </cell>
          <cell r="C26" t="str">
            <v>TANF 14-44 M</v>
          </cell>
          <cell r="D26" t="str">
            <v>1004083</v>
          </cell>
          <cell r="E26" t="str">
            <v>CATEGORICAL</v>
          </cell>
          <cell r="F26" t="str">
            <v>TANF 21-44 MALE WITH QMB</v>
          </cell>
        </row>
        <row r="27">
          <cell r="B27" t="str">
            <v>1027</v>
          </cell>
          <cell r="C27" t="str">
            <v>TANF 14-44 F</v>
          </cell>
          <cell r="D27" t="str">
            <v>1004082</v>
          </cell>
          <cell r="E27" t="str">
            <v>CATEGORICAL</v>
          </cell>
          <cell r="F27" t="str">
            <v>TANF 21-44 FEMALE WITH QMB</v>
          </cell>
        </row>
        <row r="28">
          <cell r="B28" t="str">
            <v>1028</v>
          </cell>
          <cell r="C28" t="str">
            <v>TANF 45+</v>
          </cell>
          <cell r="D28" t="str">
            <v>1004084</v>
          </cell>
          <cell r="E28" t="str">
            <v>CATEGORICAL</v>
          </cell>
          <cell r="F28" t="str">
            <v>TANF 45-64 M/F WITH QMB</v>
          </cell>
        </row>
        <row r="29">
          <cell r="B29" t="str">
            <v>1029</v>
          </cell>
          <cell r="C29" t="str">
            <v>TANF 45+</v>
          </cell>
          <cell r="D29" t="str">
            <v>1004084</v>
          </cell>
          <cell r="E29" t="str">
            <v>CATEGORICAL</v>
          </cell>
          <cell r="F29" t="str">
            <v>TANF 65+ M/F WITH QMB</v>
          </cell>
        </row>
        <row r="30">
          <cell r="B30" t="str">
            <v>1101</v>
          </cell>
          <cell r="C30" t="str">
            <v>TANF &lt;1 M/F</v>
          </cell>
          <cell r="D30" t="str">
            <v>1004080</v>
          </cell>
          <cell r="E30" t="str">
            <v>CATEGORICAL LINKED EXPANSION</v>
          </cell>
          <cell r="F30" t="str">
            <v>TANF EXPANDED &lt;1 M/F WITH MEDICARE</v>
          </cell>
        </row>
        <row r="31">
          <cell r="B31" t="str">
            <v>1102</v>
          </cell>
          <cell r="C31" t="str">
            <v>TANF 1-13 M/F</v>
          </cell>
          <cell r="D31" t="str">
            <v>1004081</v>
          </cell>
          <cell r="E31" t="str">
            <v>CATEGORICAL LINKED EXPANSION</v>
          </cell>
          <cell r="F31" t="str">
            <v>TANF EXPANDED 1-5 M/F WITH MEDICARE</v>
          </cell>
        </row>
        <row r="32">
          <cell r="B32" t="str">
            <v>1103</v>
          </cell>
          <cell r="C32" t="str">
            <v>TANF 1-13 M/F</v>
          </cell>
          <cell r="D32" t="str">
            <v>1004081</v>
          </cell>
          <cell r="E32" t="str">
            <v>CATEGORICAL LINKED EXPANSION</v>
          </cell>
          <cell r="F32" t="str">
            <v>TANF EXPANDED 6-13 M/F WITH MEDICARE</v>
          </cell>
        </row>
        <row r="33">
          <cell r="B33" t="str">
            <v>1104</v>
          </cell>
          <cell r="C33" t="str">
            <v>TANF 14-44 M</v>
          </cell>
          <cell r="D33" t="str">
            <v>1004083</v>
          </cell>
          <cell r="E33" t="str">
            <v>CATEGORICAL LINKED EXPANSION</v>
          </cell>
          <cell r="F33" t="str">
            <v>TANF EXPANDED 14-20 MALE WITH MEDICARE</v>
          </cell>
        </row>
        <row r="34">
          <cell r="B34" t="str">
            <v>1105</v>
          </cell>
          <cell r="C34" t="str">
            <v>TANF 14-44 F</v>
          </cell>
          <cell r="D34" t="str">
            <v>1004082</v>
          </cell>
          <cell r="E34" t="str">
            <v>CATEGORICAL LINKED EXPANSION</v>
          </cell>
          <cell r="F34" t="str">
            <v>TANF EXPANDED 14-20 FEMALE WITH MEDICARE</v>
          </cell>
        </row>
        <row r="35">
          <cell r="B35" t="str">
            <v>1106</v>
          </cell>
          <cell r="C35" t="str">
            <v>TANF 14-44 M</v>
          </cell>
          <cell r="D35" t="str">
            <v>1004083</v>
          </cell>
          <cell r="E35" t="str">
            <v>CATEGORICAL LINKED EXPANSION</v>
          </cell>
          <cell r="F35" t="str">
            <v>TANF EXPANDED 21-44 MALE WITH MEDICARE</v>
          </cell>
        </row>
        <row r="36">
          <cell r="B36" t="str">
            <v>1107</v>
          </cell>
          <cell r="C36" t="str">
            <v>TANF 14-44 F</v>
          </cell>
          <cell r="D36" t="str">
            <v>1004082</v>
          </cell>
          <cell r="E36" t="str">
            <v>CATEGORICAL LINKED EXPANSION</v>
          </cell>
          <cell r="F36" t="str">
            <v>TANF EXPANDED 21-44 FEMALE WITH MEDICARE</v>
          </cell>
        </row>
        <row r="37">
          <cell r="B37" t="str">
            <v>1108</v>
          </cell>
          <cell r="C37" t="str">
            <v>TANF 45+</v>
          </cell>
          <cell r="D37" t="str">
            <v>1004084</v>
          </cell>
          <cell r="E37" t="str">
            <v>CATEGORICAL LINKED EXPANSION</v>
          </cell>
          <cell r="F37" t="str">
            <v>TANF EXPANDED 45-64 M/F WITH MEDICARE</v>
          </cell>
        </row>
        <row r="38">
          <cell r="B38" t="str">
            <v>1109</v>
          </cell>
          <cell r="C38" t="str">
            <v>TANF 45+</v>
          </cell>
          <cell r="D38" t="str">
            <v>1004084</v>
          </cell>
          <cell r="E38" t="str">
            <v>CATEGORICAL LINKED EXPANSION</v>
          </cell>
          <cell r="F38" t="str">
            <v>TANF EXPANDED 65+ M/F WITH MEDICARE</v>
          </cell>
        </row>
        <row r="39">
          <cell r="B39" t="str">
            <v>1111</v>
          </cell>
          <cell r="C39" t="str">
            <v>TANF &lt;1 M/F</v>
          </cell>
          <cell r="D39" t="str">
            <v>1004080</v>
          </cell>
          <cell r="E39" t="str">
            <v>CATEGORICAL LINKED EXPANSION</v>
          </cell>
          <cell r="F39" t="str">
            <v>TANF EXPANDED &lt;1 M/F NON- MEDICARE</v>
          </cell>
        </row>
        <row r="40">
          <cell r="B40" t="str">
            <v>1112</v>
          </cell>
          <cell r="C40" t="str">
            <v>TANF 1-13 M/F</v>
          </cell>
          <cell r="D40" t="str">
            <v>1004081</v>
          </cell>
          <cell r="E40" t="str">
            <v>CATEGORICAL LINKED EXPANSION</v>
          </cell>
          <cell r="F40" t="str">
            <v>TANF EXPANDED 1-5 M/F NON-MEDICARE</v>
          </cell>
        </row>
        <row r="41">
          <cell r="B41" t="str">
            <v>1113</v>
          </cell>
          <cell r="C41" t="str">
            <v>TANF 1-13 M/F</v>
          </cell>
          <cell r="D41" t="str">
            <v>1004081</v>
          </cell>
          <cell r="E41" t="str">
            <v>CATEGORICAL LINKED EXPANSION</v>
          </cell>
          <cell r="F41" t="str">
            <v>TANF EXPANDED 6-13 M/F NON-MEDICARE</v>
          </cell>
        </row>
        <row r="42">
          <cell r="B42" t="str">
            <v>1114</v>
          </cell>
          <cell r="C42" t="str">
            <v>TANF 14-44 F</v>
          </cell>
          <cell r="D42" t="str">
            <v>1004083</v>
          </cell>
          <cell r="E42" t="str">
            <v>CATEGORICAL LINKED EXPANSION</v>
          </cell>
          <cell r="F42" t="str">
            <v>TANF EXPANDED 14-20 MALE NON-MEDICARE</v>
          </cell>
        </row>
        <row r="43">
          <cell r="B43" t="str">
            <v>1115</v>
          </cell>
          <cell r="C43" t="str">
            <v>TANF 14-44 F</v>
          </cell>
          <cell r="D43" t="str">
            <v>1004082</v>
          </cell>
          <cell r="E43" t="str">
            <v>CATEGORICAL LINKED EXPANSION</v>
          </cell>
          <cell r="F43" t="str">
            <v>TANF EXPANDED 14-20 FEMALE NON-MEDICARE</v>
          </cell>
        </row>
        <row r="44">
          <cell r="B44" t="str">
            <v>1116</v>
          </cell>
          <cell r="C44" t="str">
            <v>TANF 14-44 M</v>
          </cell>
          <cell r="D44" t="str">
            <v>1004083</v>
          </cell>
          <cell r="E44" t="str">
            <v>CATEGORICAL LINKED EXPANSION</v>
          </cell>
          <cell r="F44" t="str">
            <v>TANF EXPANDED 21-44 MALE NON-MEDICARE</v>
          </cell>
        </row>
        <row r="45">
          <cell r="B45" t="str">
            <v>1117</v>
          </cell>
          <cell r="C45" t="str">
            <v>TANF 14-44 F</v>
          </cell>
          <cell r="D45" t="str">
            <v>1004082</v>
          </cell>
          <cell r="E45" t="str">
            <v>CATEGORICAL LINKED EXPANSION</v>
          </cell>
          <cell r="F45" t="str">
            <v>TANF EXPANDED 21-44 FEMALE NON-MEDICARE</v>
          </cell>
        </row>
        <row r="46">
          <cell r="B46" t="str">
            <v>1118</v>
          </cell>
          <cell r="C46" t="str">
            <v>TANF 45+</v>
          </cell>
          <cell r="D46" t="str">
            <v>1004084</v>
          </cell>
          <cell r="E46" t="str">
            <v>CATEGORICAL LINKED EXPANSION</v>
          </cell>
          <cell r="F46" t="str">
            <v>TANF EXPANDED 45-64 M/F NON-MEDICARE</v>
          </cell>
        </row>
        <row r="47">
          <cell r="B47" t="str">
            <v>1119</v>
          </cell>
          <cell r="C47" t="str">
            <v>TANF 45+</v>
          </cell>
          <cell r="D47" t="str">
            <v>1004084</v>
          </cell>
          <cell r="E47" t="str">
            <v>CATEGORICAL LINKED EXPANSION</v>
          </cell>
          <cell r="F47" t="str">
            <v>TANF EXPANDED 65+ M/F NON-MEDICARE</v>
          </cell>
        </row>
        <row r="48">
          <cell r="B48" t="str">
            <v>1121</v>
          </cell>
          <cell r="C48" t="str">
            <v>TANF &lt;1 M/F</v>
          </cell>
          <cell r="D48" t="str">
            <v>1004080</v>
          </cell>
          <cell r="E48" t="str">
            <v>CATEGORICAL LINKED EXPANSION</v>
          </cell>
          <cell r="F48" t="str">
            <v>TANF EXPANDED &lt;1 M/F WITH QMB</v>
          </cell>
        </row>
        <row r="49">
          <cell r="B49" t="str">
            <v>1122</v>
          </cell>
          <cell r="C49" t="str">
            <v>TANF 1-13 M/F</v>
          </cell>
          <cell r="D49" t="str">
            <v>1004081</v>
          </cell>
          <cell r="E49" t="str">
            <v>CATEGORICAL LINKED EXPANSION</v>
          </cell>
          <cell r="F49" t="str">
            <v>TANF EXPANDED 1-5 M/F WITH QMB</v>
          </cell>
        </row>
        <row r="50">
          <cell r="B50" t="str">
            <v>1123</v>
          </cell>
          <cell r="C50" t="str">
            <v>TANF 1-13 M/F</v>
          </cell>
          <cell r="D50" t="str">
            <v>1004081</v>
          </cell>
          <cell r="E50" t="str">
            <v>CATEGORICAL LINKED EXPANSION</v>
          </cell>
          <cell r="F50" t="str">
            <v>TANF EXPANDED 6-13 M/F WITH QMB</v>
          </cell>
        </row>
        <row r="51">
          <cell r="B51" t="str">
            <v>1124</v>
          </cell>
          <cell r="C51" t="str">
            <v>TANF 14-44 M</v>
          </cell>
          <cell r="D51" t="str">
            <v>1004083</v>
          </cell>
          <cell r="E51" t="str">
            <v>CATEGORICAL LINKED EXPANSION</v>
          </cell>
          <cell r="F51" t="str">
            <v>TANF EXPANDED 14-20 MALE WITH QMB</v>
          </cell>
        </row>
        <row r="52">
          <cell r="B52" t="str">
            <v>1125</v>
          </cell>
          <cell r="C52" t="str">
            <v>TANF 14-44 F</v>
          </cell>
          <cell r="D52" t="str">
            <v>1004082</v>
          </cell>
          <cell r="E52" t="str">
            <v>CATEGORICAL LINKED EXPANSION</v>
          </cell>
          <cell r="F52" t="str">
            <v>TANF EXPANDED 14-20 FEMALE WITH QMB</v>
          </cell>
        </row>
        <row r="53">
          <cell r="B53" t="str">
            <v>1126</v>
          </cell>
          <cell r="C53" t="str">
            <v>TANF 14-44 F</v>
          </cell>
          <cell r="D53" t="str">
            <v>1004083</v>
          </cell>
          <cell r="E53" t="str">
            <v>CATEGORICAL LINKED EXPANSION</v>
          </cell>
          <cell r="F53" t="str">
            <v>TANF EXPANDED 21-44 MALE WITH QMB</v>
          </cell>
        </row>
        <row r="54">
          <cell r="B54" t="str">
            <v>1127</v>
          </cell>
          <cell r="C54" t="str">
            <v>TANF 14-44 F</v>
          </cell>
          <cell r="D54" t="str">
            <v>1004082</v>
          </cell>
          <cell r="E54" t="str">
            <v>CATEGORICAL LINKED EXPANSION</v>
          </cell>
          <cell r="F54" t="str">
            <v>TANF EXPANDED 21-44 FEMALE WITH QMB</v>
          </cell>
        </row>
        <row r="55">
          <cell r="B55" t="str">
            <v>1128</v>
          </cell>
          <cell r="C55" t="str">
            <v>TANF 45+</v>
          </cell>
          <cell r="D55" t="str">
            <v>1004084</v>
          </cell>
          <cell r="E55" t="str">
            <v>CATEGORICAL LINKED EXPANSION</v>
          </cell>
          <cell r="F55" t="str">
            <v>TANF EXPANDED 45-64 M/F WITH QMB</v>
          </cell>
        </row>
        <row r="56">
          <cell r="B56" t="str">
            <v>1129</v>
          </cell>
          <cell r="C56" t="str">
            <v>TANF 45+</v>
          </cell>
          <cell r="D56" t="str">
            <v>1004084</v>
          </cell>
          <cell r="E56" t="str">
            <v>CATEGORICAL LINKED EXPANSION</v>
          </cell>
          <cell r="F56" t="str">
            <v>TANF  EXPANDED 65+ M/F WITH QMB</v>
          </cell>
        </row>
        <row r="57">
          <cell r="B57" t="str">
            <v>2100</v>
          </cell>
          <cell r="C57" t="str">
            <v>SSI W/MED</v>
          </cell>
          <cell r="D57" t="str">
            <v>1004085</v>
          </cell>
          <cell r="E57" t="str">
            <v>CATEGORICAL</v>
          </cell>
          <cell r="F57" t="str">
            <v>SSI AGED WITH MEDICARE</v>
          </cell>
        </row>
        <row r="58">
          <cell r="B58" t="str">
            <v>2110</v>
          </cell>
          <cell r="C58" t="str">
            <v>SSI W/O MED</v>
          </cell>
          <cell r="D58" t="str">
            <v>1004086</v>
          </cell>
          <cell r="E58" t="str">
            <v>CATEGORICAL</v>
          </cell>
          <cell r="F58" t="str">
            <v>SSI AGED NON-MEDICARE</v>
          </cell>
        </row>
        <row r="59">
          <cell r="B59" t="str">
            <v>2120</v>
          </cell>
          <cell r="C59" t="str">
            <v>SSI W/MED</v>
          </cell>
          <cell r="D59" t="str">
            <v>1004085</v>
          </cell>
          <cell r="E59" t="str">
            <v>CATEGORICAL</v>
          </cell>
          <cell r="F59" t="str">
            <v>SSI AGED WITH QMB</v>
          </cell>
        </row>
        <row r="60">
          <cell r="B60" t="str">
            <v>2200</v>
          </cell>
          <cell r="C60" t="str">
            <v>SSI W/MED</v>
          </cell>
          <cell r="D60" t="str">
            <v>1004085</v>
          </cell>
          <cell r="E60" t="str">
            <v>CATEGORICAL</v>
          </cell>
          <cell r="F60" t="str">
            <v>SSI DISABLED WITH MEDICARE</v>
          </cell>
        </row>
        <row r="61">
          <cell r="B61" t="str">
            <v>2210</v>
          </cell>
          <cell r="C61" t="str">
            <v>SSI W/O MED</v>
          </cell>
          <cell r="D61" t="str">
            <v>1004086</v>
          </cell>
          <cell r="E61" t="str">
            <v>CATEGORICAL</v>
          </cell>
          <cell r="F61" t="str">
            <v>SSI DISABLED NON-MEDICARE</v>
          </cell>
        </row>
        <row r="62">
          <cell r="B62" t="str">
            <v>2220</v>
          </cell>
          <cell r="C62" t="str">
            <v>SSI W/MED</v>
          </cell>
          <cell r="D62" t="str">
            <v>1004085</v>
          </cell>
          <cell r="E62" t="str">
            <v>CATEGORICAL</v>
          </cell>
          <cell r="F62" t="str">
            <v>SSI DISABLED WITH QMB</v>
          </cell>
        </row>
        <row r="63">
          <cell r="B63" t="str">
            <v>2300</v>
          </cell>
          <cell r="C63" t="str">
            <v>SSI W/MED</v>
          </cell>
          <cell r="D63" t="str">
            <v>1004085</v>
          </cell>
          <cell r="E63" t="str">
            <v>CATEGORICAL</v>
          </cell>
          <cell r="F63" t="str">
            <v>SSI BLIND WITH MEDICARE</v>
          </cell>
        </row>
        <row r="64">
          <cell r="B64" t="str">
            <v>2310</v>
          </cell>
          <cell r="C64" t="str">
            <v>SSI W/O MED</v>
          </cell>
          <cell r="D64" t="str">
            <v>1004086</v>
          </cell>
          <cell r="E64" t="str">
            <v>CATEGORICAL</v>
          </cell>
          <cell r="F64" t="str">
            <v>SSI BLIND NON-MEDICARE</v>
          </cell>
        </row>
        <row r="65">
          <cell r="B65" t="str">
            <v>2320</v>
          </cell>
          <cell r="C65" t="str">
            <v>SSI W/MED</v>
          </cell>
          <cell r="D65" t="str">
            <v>1004085</v>
          </cell>
          <cell r="E65" t="str">
            <v>CATEGORICAL</v>
          </cell>
          <cell r="F65" t="str">
            <v>SSI BLIND WITH QMB</v>
          </cell>
        </row>
        <row r="66">
          <cell r="B66" t="str">
            <v>2400</v>
          </cell>
          <cell r="C66" t="str">
            <v>SSI W/MED</v>
          </cell>
          <cell r="D66" t="str">
            <v>1004085</v>
          </cell>
          <cell r="E66" t="str">
            <v>CATEGORICAL LINKED EXPANSION</v>
          </cell>
          <cell r="F66" t="str">
            <v>SSI AGED EXPANDED WITH MEDICARE</v>
          </cell>
        </row>
        <row r="67">
          <cell r="B67" t="str">
            <v>2410</v>
          </cell>
          <cell r="C67" t="str">
            <v>SSI W/O MED</v>
          </cell>
          <cell r="D67" t="str">
            <v>1004086</v>
          </cell>
          <cell r="E67" t="str">
            <v>CATEGORICAL LINKED EXPANSION</v>
          </cell>
          <cell r="F67" t="str">
            <v>SSI AGED EXPANDED NON-MEDICARE</v>
          </cell>
        </row>
        <row r="68">
          <cell r="B68" t="str">
            <v>2420</v>
          </cell>
          <cell r="C68" t="str">
            <v>SSI W/MED</v>
          </cell>
          <cell r="D68" t="str">
            <v>1004085</v>
          </cell>
          <cell r="E68" t="str">
            <v>CATEGORICAL LINKED EXPANSION</v>
          </cell>
          <cell r="F68" t="str">
            <v>SSI AGED EXPANDED WITH QMB</v>
          </cell>
        </row>
        <row r="69">
          <cell r="B69" t="str">
            <v>2500</v>
          </cell>
          <cell r="C69" t="str">
            <v>SSI W/MED</v>
          </cell>
          <cell r="D69" t="str">
            <v>1004085</v>
          </cell>
          <cell r="E69" t="str">
            <v>CATEGORICAL LINKED EXPANSION</v>
          </cell>
          <cell r="F69" t="str">
            <v>SSI BLIND EXPANDED WITH MEDICARE</v>
          </cell>
        </row>
        <row r="70">
          <cell r="B70" t="str">
            <v>2510</v>
          </cell>
          <cell r="C70" t="str">
            <v>SSI W/O MED</v>
          </cell>
          <cell r="D70" t="str">
            <v>1004086</v>
          </cell>
          <cell r="E70" t="str">
            <v>CATEGORICAL LINKED EXPANSION</v>
          </cell>
          <cell r="F70" t="str">
            <v>SSI BLIND EXPANDED NON-MEDICARE</v>
          </cell>
        </row>
        <row r="71">
          <cell r="B71" t="str">
            <v>2520</v>
          </cell>
          <cell r="C71" t="str">
            <v>SSI W/MED</v>
          </cell>
          <cell r="D71" t="str">
            <v>1004085</v>
          </cell>
          <cell r="E71" t="str">
            <v>CATEGORICAL LINKED EXPANSION</v>
          </cell>
          <cell r="F71" t="str">
            <v>SSI BLIND EXPANDED WITH QMB</v>
          </cell>
        </row>
        <row r="72">
          <cell r="B72" t="str">
            <v>2600</v>
          </cell>
          <cell r="C72" t="str">
            <v>SSI W/MED</v>
          </cell>
          <cell r="D72" t="str">
            <v>1004085</v>
          </cell>
          <cell r="E72" t="str">
            <v>CATEGORICAL LINKED EXPANSION</v>
          </cell>
          <cell r="F72" t="str">
            <v>SSI DISABLED EXPANDED WITH MEDICARE</v>
          </cell>
        </row>
        <row r="73">
          <cell r="B73" t="str">
            <v>2610</v>
          </cell>
          <cell r="C73" t="str">
            <v>SSI W/O MED</v>
          </cell>
          <cell r="D73" t="str">
            <v>1004086</v>
          </cell>
          <cell r="E73" t="str">
            <v>CATEGORICAL LINKED EXPANSION</v>
          </cell>
          <cell r="F73" t="str">
            <v>SSI DISABLED EXPANDED NON-MEDICARE</v>
          </cell>
        </row>
        <row r="74">
          <cell r="B74" t="str">
            <v>2620</v>
          </cell>
          <cell r="C74" t="str">
            <v>SSI W/MED</v>
          </cell>
          <cell r="D74" t="str">
            <v>1004085</v>
          </cell>
          <cell r="E74" t="str">
            <v>CATEGORICAL LINKED EXPANSION</v>
          </cell>
          <cell r="F74" t="str">
            <v>SSI DISABLED EXPANDED WITH QMB</v>
          </cell>
        </row>
        <row r="75">
          <cell r="B75" t="str">
            <v>3000</v>
          </cell>
          <cell r="C75" t="str">
            <v>MN/MI</v>
          </cell>
          <cell r="D75" t="str">
            <v>1004087</v>
          </cell>
          <cell r="E75" t="str">
            <v>NON-CATEGORICAL</v>
          </cell>
          <cell r="F75" t="str">
            <v>MN/MI WITH MEDICARE</v>
          </cell>
        </row>
        <row r="76">
          <cell r="B76" t="str">
            <v>3010</v>
          </cell>
          <cell r="C76" t="str">
            <v>MN/MI</v>
          </cell>
          <cell r="D76" t="str">
            <v>1004087</v>
          </cell>
          <cell r="E76" t="str">
            <v>NON-CATEGORICAL</v>
          </cell>
          <cell r="F76" t="str">
            <v>MN/MI NON-MEDICARE</v>
          </cell>
        </row>
        <row r="77">
          <cell r="B77" t="str">
            <v>3302</v>
          </cell>
          <cell r="C77" t="str">
            <v>Title XIX Waiver Non-MED</v>
          </cell>
          <cell r="D77" t="str">
            <v>1004087</v>
          </cell>
          <cell r="E77" t="str">
            <v>FEDERAL NON-CATEGORICAL LINKED EXPANSION</v>
          </cell>
          <cell r="F77" t="str">
            <v>TITLE XIX WAIVER GRP 1-5 M/F WITH MEDICARE</v>
          </cell>
        </row>
        <row r="78">
          <cell r="B78" t="str">
            <v>3303</v>
          </cell>
          <cell r="C78" t="str">
            <v>Title XIX Waiver Non-MED</v>
          </cell>
          <cell r="D78" t="str">
            <v>1004087</v>
          </cell>
          <cell r="E78" t="str">
            <v>FEDERAL NON-CATEGORICAL LINKED EXPANSION</v>
          </cell>
          <cell r="F78" t="str">
            <v>TITLE XIX WAIVER GRP 6-13 M/F WITH MEDICARE</v>
          </cell>
        </row>
        <row r="79">
          <cell r="B79" t="str">
            <v>3304</v>
          </cell>
          <cell r="C79" t="str">
            <v>Title XIX Waiver Non-MED</v>
          </cell>
          <cell r="D79" t="str">
            <v>1004087</v>
          </cell>
          <cell r="E79" t="str">
            <v>FEDERAL NON-CATEGORICAL LINKED EXPANSION</v>
          </cell>
          <cell r="F79" t="str">
            <v>TITLE XIX WAIVER GRP 14-20 MALE WITH MEDICARE</v>
          </cell>
        </row>
        <row r="80">
          <cell r="B80" t="str">
            <v>3305</v>
          </cell>
          <cell r="C80" t="str">
            <v>Title XIX Waiver Non-MED</v>
          </cell>
          <cell r="D80" t="str">
            <v>1004087</v>
          </cell>
          <cell r="E80" t="str">
            <v>FEDERAL NON-CATEGORICAL LINKED EXPANSION</v>
          </cell>
          <cell r="F80" t="str">
            <v>TITLE XIX WAIVER GRP 14-20 FEMALE WITH MEDICARE</v>
          </cell>
        </row>
        <row r="81">
          <cell r="B81" t="str">
            <v>3306</v>
          </cell>
          <cell r="C81" t="str">
            <v>Title XIX Waiver Non-MED</v>
          </cell>
          <cell r="D81" t="str">
            <v>1004087</v>
          </cell>
          <cell r="E81" t="str">
            <v>FEDERAL NON-CATEGORICAL LINKED EXPANSION</v>
          </cell>
          <cell r="F81" t="str">
            <v>TITLE XIX WAIVER GRP 21-44 MALE WITH MEDICARE</v>
          </cell>
        </row>
        <row r="82">
          <cell r="B82" t="str">
            <v>3307</v>
          </cell>
          <cell r="C82" t="str">
            <v>Title XIX Waiver Non-MED</v>
          </cell>
          <cell r="D82" t="str">
            <v>1004087</v>
          </cell>
          <cell r="E82" t="str">
            <v>FEDERAL NON-CATEGORICAL LINKED EXPANSION</v>
          </cell>
          <cell r="F82" t="str">
            <v>TITLE XIX WAIVER GRP 21-44 FEMALE WITH MEDICARE</v>
          </cell>
        </row>
        <row r="83">
          <cell r="B83" t="str">
            <v>3308</v>
          </cell>
          <cell r="C83" t="str">
            <v>Title XIX Waiver Non-MED</v>
          </cell>
          <cell r="D83" t="str">
            <v>1004087</v>
          </cell>
          <cell r="E83" t="str">
            <v>FEDERAL NON-CATEGORICAL LINKED EXPANSION</v>
          </cell>
          <cell r="F83" t="str">
            <v>TITLE XIX WAIVER GRP 45-64M/F WITH MEDICARE</v>
          </cell>
        </row>
        <row r="84">
          <cell r="B84" t="str">
            <v>3309</v>
          </cell>
          <cell r="C84" t="str">
            <v>Title XIX Waiver Non-MED</v>
          </cell>
          <cell r="D84" t="str">
            <v>1004087</v>
          </cell>
          <cell r="E84" t="str">
            <v>FEDERAL NON-CATEGORICAL LINKED EXPANSION</v>
          </cell>
          <cell r="F84" t="str">
            <v>TITLE XIX WAIVER GRP 65+ M/F WITH MEDICARE</v>
          </cell>
        </row>
        <row r="85">
          <cell r="B85" t="str">
            <v>3311</v>
          </cell>
          <cell r="C85" t="str">
            <v>Title XIX Waiver Non-MED</v>
          </cell>
          <cell r="D85" t="str">
            <v>1004087</v>
          </cell>
          <cell r="E85" t="str">
            <v>FEDERAL NON-CATEGORICAL LINKED EXPANSION</v>
          </cell>
          <cell r="F85" t="str">
            <v>TITLE XIX WAIVER GRP &lt;1 M/F NON-MEDICARE</v>
          </cell>
        </row>
        <row r="86">
          <cell r="B86" t="str">
            <v>3312</v>
          </cell>
          <cell r="C86" t="str">
            <v>Title XIX Waiver Non-MED</v>
          </cell>
          <cell r="D86" t="str">
            <v>1004087</v>
          </cell>
          <cell r="E86" t="str">
            <v>FEDERAL NON-CATEGORICAL LINKED EXPANSION</v>
          </cell>
          <cell r="F86" t="str">
            <v>TITLE XIX WAIVER GRP 1-5 M/F NON-MEDICARE</v>
          </cell>
        </row>
        <row r="87">
          <cell r="B87" t="str">
            <v>3313</v>
          </cell>
          <cell r="C87" t="str">
            <v>Title XIX Waiver Non-MED</v>
          </cell>
          <cell r="D87" t="str">
            <v>1004087</v>
          </cell>
          <cell r="E87" t="str">
            <v>FEDERAL NON-CATEGORICAL LINKED EXPANSION</v>
          </cell>
          <cell r="F87" t="str">
            <v>TITLE XIX WAIVER GRP 6-13 M/F NON-MEDICARE</v>
          </cell>
        </row>
        <row r="88">
          <cell r="B88" t="str">
            <v>3314</v>
          </cell>
          <cell r="C88" t="str">
            <v>Title XIX Waiver Non-MED</v>
          </cell>
          <cell r="D88" t="str">
            <v>1004087</v>
          </cell>
          <cell r="E88" t="str">
            <v>FEDERAL NON-CATEGORICAL LINKED EXPANSION</v>
          </cell>
          <cell r="F88" t="str">
            <v>TITLE XIX WAIVER GRP 14-20 MALE NON-MEDICARE</v>
          </cell>
        </row>
        <row r="89">
          <cell r="B89" t="str">
            <v>3315</v>
          </cell>
          <cell r="C89" t="str">
            <v>Title XIX Waiver Non-MED</v>
          </cell>
          <cell r="D89" t="str">
            <v>1004087</v>
          </cell>
          <cell r="E89" t="str">
            <v>FEDERAL NON-CATEGORICAL LINKED EXPANSION</v>
          </cell>
          <cell r="F89" t="str">
            <v>TITLE XIX WAIVER GRP 14-20 FEMALE NON-MEDICARE</v>
          </cell>
        </row>
        <row r="90">
          <cell r="B90" t="str">
            <v>3316</v>
          </cell>
          <cell r="C90" t="str">
            <v>Title XIX Waiver Non-MED</v>
          </cell>
          <cell r="D90" t="str">
            <v>1004087</v>
          </cell>
          <cell r="E90" t="str">
            <v>FEDERAL NON-CATEGORICAL LINKED EXPANSION</v>
          </cell>
          <cell r="F90" t="str">
            <v>TITLE XIX WAIVER GRP 21-44 MALE NON-MEDICARE</v>
          </cell>
        </row>
        <row r="91">
          <cell r="B91" t="str">
            <v>3317</v>
          </cell>
          <cell r="C91" t="str">
            <v>Title XIX Waiver Non-MED</v>
          </cell>
          <cell r="D91" t="str">
            <v>1004087</v>
          </cell>
          <cell r="E91" t="str">
            <v>FEDERAL NON-CATEGORICAL LINKED EXPANSION</v>
          </cell>
          <cell r="F91" t="str">
            <v>TITLE XIX WAIVER GRP 21-44 FEMALE NON-MEDICARE</v>
          </cell>
        </row>
        <row r="92">
          <cell r="B92" t="str">
            <v>3318</v>
          </cell>
          <cell r="C92" t="str">
            <v>Title XIX Waiver Non-MED</v>
          </cell>
          <cell r="D92" t="str">
            <v>1004087</v>
          </cell>
          <cell r="E92" t="str">
            <v>FEDERAL NON-CATEGORICAL LINKED EXPANSION</v>
          </cell>
          <cell r="F92" t="str">
            <v>TITLE XIX WAIVER GRP 45-64 M/F NON-MEDICARE</v>
          </cell>
        </row>
        <row r="93">
          <cell r="B93" t="str">
            <v>3319</v>
          </cell>
          <cell r="C93" t="str">
            <v>Title XIX Waiver Non-MED</v>
          </cell>
          <cell r="D93" t="str">
            <v>1004087</v>
          </cell>
          <cell r="E93" t="str">
            <v>FEDERAL NON-CATEGORICAL LINKED EXPANSION</v>
          </cell>
          <cell r="F93" t="str">
            <v>TITLE XIX WAIVER GRP 65+ M/F NON-MEDICARE</v>
          </cell>
        </row>
        <row r="94">
          <cell r="B94" t="str">
            <v>3321</v>
          </cell>
          <cell r="C94" t="str">
            <v>Title XIX Waiver Non-MED</v>
          </cell>
          <cell r="D94" t="str">
            <v>1004087</v>
          </cell>
          <cell r="E94" t="str">
            <v>FEDERAL NON-CATEGORICAL LINKED EXPANSION</v>
          </cell>
          <cell r="F94" t="str">
            <v>TITLE XIX WAIVER GRP &lt;1 M/F WITH QMB</v>
          </cell>
        </row>
        <row r="95">
          <cell r="B95" t="str">
            <v>3322</v>
          </cell>
          <cell r="C95" t="str">
            <v>Title XIX Waiver Non-MED</v>
          </cell>
          <cell r="D95" t="str">
            <v>1004087</v>
          </cell>
          <cell r="E95" t="str">
            <v>FEDERAL NON-CATEGORICAL LINKED EXPANSION</v>
          </cell>
          <cell r="F95" t="str">
            <v>TITLE XIX WAIVER GRP 1-5 M/F WITH QMB</v>
          </cell>
        </row>
        <row r="96">
          <cell r="B96" t="str">
            <v>3323</v>
          </cell>
          <cell r="C96" t="str">
            <v>Title XIX Waiver Non-MED</v>
          </cell>
          <cell r="D96" t="str">
            <v>1004087</v>
          </cell>
          <cell r="E96" t="str">
            <v>FEDERAL NON-CATEGORICAL LINKED EXPANSION</v>
          </cell>
          <cell r="F96" t="str">
            <v>TITLE XIX WAIVER GRP 6-13 M/F WITH QMB</v>
          </cell>
        </row>
        <row r="97">
          <cell r="B97" t="str">
            <v>3324</v>
          </cell>
          <cell r="C97" t="str">
            <v>Title XIX Waiver Non-MED</v>
          </cell>
          <cell r="D97" t="str">
            <v>1004087</v>
          </cell>
          <cell r="E97" t="str">
            <v>FEDERAL NON-CATEGORICAL LINKED EXPANSION</v>
          </cell>
          <cell r="F97" t="str">
            <v>TITLE XIX WAIVER GRP 14-20 MALE WITH QMB</v>
          </cell>
        </row>
        <row r="98">
          <cell r="B98" t="str">
            <v>3325</v>
          </cell>
          <cell r="C98" t="str">
            <v>Title XIX Waiver Non-MED</v>
          </cell>
          <cell r="D98" t="str">
            <v>1004087</v>
          </cell>
          <cell r="E98" t="str">
            <v>FEDERAL NON-CATEGORICAL LINKED EXPANSION</v>
          </cell>
          <cell r="F98" t="str">
            <v>TITLE XIX WAIVER GRP 14-20 FEMALE WITH QMB</v>
          </cell>
        </row>
        <row r="99">
          <cell r="B99" t="str">
            <v>3326</v>
          </cell>
          <cell r="C99" t="str">
            <v>Title XIX Waiver Non-MED</v>
          </cell>
          <cell r="D99" t="str">
            <v>1004087</v>
          </cell>
          <cell r="E99" t="str">
            <v>FEDERAL NON-CATEGORICAL LINKED EXPANSION</v>
          </cell>
          <cell r="F99" t="str">
            <v>TITLE XIX WAIVER GRP 21-44 MALE WITH QMB</v>
          </cell>
        </row>
        <row r="100">
          <cell r="B100" t="str">
            <v>3327</v>
          </cell>
          <cell r="C100" t="str">
            <v>Title XIX Waiver Non-MED</v>
          </cell>
          <cell r="D100" t="str">
            <v>1004087</v>
          </cell>
          <cell r="E100" t="str">
            <v>FEDERAL NON-CATEGORICAL LINKED EXPANSION</v>
          </cell>
          <cell r="F100" t="str">
            <v>TITLE XIX WAIVER GRP 21-44 FEMALE WITH QMB</v>
          </cell>
        </row>
        <row r="101">
          <cell r="B101" t="str">
            <v>3328</v>
          </cell>
          <cell r="C101" t="str">
            <v>Title XIX Waiver Non-MED</v>
          </cell>
          <cell r="D101" t="str">
            <v>1004087</v>
          </cell>
          <cell r="E101" t="str">
            <v>FEDERAL NON-CATEGORICAL LINKED EXPANSION</v>
          </cell>
          <cell r="F101" t="str">
            <v>TITLE XIX WAIVER GRP 45-64 M/F WITH QMB</v>
          </cell>
        </row>
        <row r="102">
          <cell r="B102" t="str">
            <v>3400</v>
          </cell>
          <cell r="C102" t="str">
            <v>Title XIX Waiver MED</v>
          </cell>
          <cell r="D102" t="str">
            <v>1004099</v>
          </cell>
          <cell r="E102" t="str">
            <v>FEDERAL NON-CATEGORICAL LINKED CONVERSION</v>
          </cell>
          <cell r="F102" t="str">
            <v>MED ELIGIBILITY WITH MEDICARE</v>
          </cell>
        </row>
        <row r="103">
          <cell r="B103" t="str">
            <v>3410</v>
          </cell>
          <cell r="C103" t="str">
            <v>Title XIX Waiver MED</v>
          </cell>
          <cell r="D103" t="str">
            <v>1004099</v>
          </cell>
          <cell r="E103" t="str">
            <v>FEDERAL NON-CATEGORICAL LINKED CONVERSION</v>
          </cell>
          <cell r="F103" t="str">
            <v>MED ELIGIBILITY NON-MEDICARE</v>
          </cell>
        </row>
        <row r="104">
          <cell r="B104" t="str">
            <v>3420</v>
          </cell>
          <cell r="C104" t="str">
            <v>Title XIX Waiver MED</v>
          </cell>
          <cell r="D104" t="str">
            <v>1004099</v>
          </cell>
          <cell r="E104" t="str">
            <v>FEDERAL NON-CATEGORICAL LINKED CONVERSION</v>
          </cell>
          <cell r="F104" t="str">
            <v>MED ELIGIBILITY WITH QMB</v>
          </cell>
        </row>
        <row r="105">
          <cell r="B105" t="str">
            <v>3601</v>
          </cell>
          <cell r="C105" t="str">
            <v>Title XIX Waiver Non-MED</v>
          </cell>
          <cell r="D105" t="str">
            <v>1004087</v>
          </cell>
          <cell r="E105" t="str">
            <v>FEDERAL NON-CATEGORICAL LINKED CONVERSION</v>
          </cell>
          <cell r="F105" t="str">
            <v>TITLE XIX WAIVER GRP/MI &lt;1 M/F WITH MEDICARE</v>
          </cell>
        </row>
        <row r="106">
          <cell r="B106" t="str">
            <v>3602</v>
          </cell>
          <cell r="C106" t="str">
            <v>Title XIX Waiver Non-MED</v>
          </cell>
          <cell r="D106" t="str">
            <v>1004087</v>
          </cell>
          <cell r="E106" t="str">
            <v>FEDERAL NON-CATEGORICAL LINKED CONVERSION</v>
          </cell>
          <cell r="F106" t="str">
            <v>TITLE XIX WAIVER GRP/MI 1-5 M/F WITH MEDICARE</v>
          </cell>
        </row>
        <row r="107">
          <cell r="B107" t="str">
            <v>3603</v>
          </cell>
          <cell r="C107" t="str">
            <v>Title XIX Waiver Non-MED</v>
          </cell>
          <cell r="D107" t="str">
            <v>1004087</v>
          </cell>
          <cell r="E107" t="str">
            <v>FEDERAL NON-CATEGORICAL LINKED CONVERSION</v>
          </cell>
          <cell r="F107" t="str">
            <v>TITLE XIX WAIVER GRP/MI 6-13 M/F WITH MEDICARE</v>
          </cell>
        </row>
        <row r="108">
          <cell r="B108" t="str">
            <v>3604</v>
          </cell>
          <cell r="C108" t="str">
            <v>Title XIX Waiver Non-MED</v>
          </cell>
          <cell r="D108" t="str">
            <v>1004087</v>
          </cell>
          <cell r="E108" t="str">
            <v>FEDERAL NON-CATEGORICAL LINKED CONVERSION</v>
          </cell>
          <cell r="F108" t="str">
            <v>TITLE XIX WAIVER GRP/MI 14-20 MALE WITH MEDICARE</v>
          </cell>
        </row>
        <row r="109">
          <cell r="B109" t="str">
            <v>3605</v>
          </cell>
          <cell r="C109" t="str">
            <v>Title XIX Waiver Non-MED</v>
          </cell>
          <cell r="D109" t="str">
            <v>1004087</v>
          </cell>
          <cell r="E109" t="str">
            <v>FEDERAL NON-CATEGORICAL LINKED CONVERSION</v>
          </cell>
          <cell r="F109" t="str">
            <v>TITLE XIX WAIVER GRP/MI 14-20 FEMALE WITH MEDICARE</v>
          </cell>
        </row>
        <row r="110">
          <cell r="B110" t="str">
            <v>3606</v>
          </cell>
          <cell r="C110" t="str">
            <v>Title XIX Waiver Non-MED</v>
          </cell>
          <cell r="D110" t="str">
            <v>1004087</v>
          </cell>
          <cell r="E110" t="str">
            <v>FEDERAL NON-CATEGORICAL LINKED CONVERSION</v>
          </cell>
          <cell r="F110" t="str">
            <v>TITLE XIX WAIVER GRP/MI 21-44 MALE WITH MEDICARE</v>
          </cell>
        </row>
        <row r="111">
          <cell r="B111" t="str">
            <v>3607</v>
          </cell>
          <cell r="C111" t="str">
            <v>Title XIX Waiver Non-MED</v>
          </cell>
          <cell r="D111" t="str">
            <v>1004087</v>
          </cell>
          <cell r="E111" t="str">
            <v>FEDERAL NON-CATEGORICAL LINKED CONVERSION</v>
          </cell>
          <cell r="F111" t="str">
            <v>TITLE XIX WAIVER GRP/MI 21-44 FEMALE WITH MEDICARE</v>
          </cell>
        </row>
        <row r="112">
          <cell r="B112" t="str">
            <v>3608</v>
          </cell>
          <cell r="C112" t="str">
            <v>Title XIX Waiver Non-MED</v>
          </cell>
          <cell r="D112" t="str">
            <v>1004087</v>
          </cell>
          <cell r="E112" t="str">
            <v>FEDERAL NON-CATEGORICAL LINKED CONVERSION</v>
          </cell>
          <cell r="F112" t="str">
            <v>TITLE XIX WAIVER GRP/MI 45-64 M/F WITH MEDICARE</v>
          </cell>
        </row>
        <row r="113">
          <cell r="B113" t="str">
            <v>3609</v>
          </cell>
          <cell r="C113" t="str">
            <v>Title XIX Waiver Non-MED</v>
          </cell>
          <cell r="D113" t="str">
            <v>1004087</v>
          </cell>
          <cell r="E113" t="str">
            <v>FEDERAL NON-CATEGORICAL LINKED CONVERSION</v>
          </cell>
          <cell r="F113" t="str">
            <v>TITLE XIX WAIVER GRP/MI 65+ M/F WITH MEDICARE</v>
          </cell>
        </row>
        <row r="114">
          <cell r="B114" t="str">
            <v>3611</v>
          </cell>
          <cell r="C114" t="str">
            <v>Title XIX Waiver Non-MED</v>
          </cell>
          <cell r="D114" t="str">
            <v>1004087</v>
          </cell>
          <cell r="E114" t="str">
            <v>FEDERAL NON-CATEGORICAL LINKED CONVERSION</v>
          </cell>
          <cell r="F114" t="str">
            <v>TITLE XIX WAIVER GRP/MI &lt;1 M/F NON-MEDICARE</v>
          </cell>
        </row>
        <row r="115">
          <cell r="B115" t="str">
            <v>3612</v>
          </cell>
          <cell r="C115" t="str">
            <v>Title XIX Waiver Non-MED</v>
          </cell>
          <cell r="D115" t="str">
            <v>1004087</v>
          </cell>
          <cell r="E115" t="str">
            <v>FEDERAL NON-CATEGORICAL LINKED CONVERSION</v>
          </cell>
          <cell r="F115" t="str">
            <v>TITLE XIX WAIVER GRP/MI 1-5 M/F NON-MEDICARE</v>
          </cell>
        </row>
        <row r="116">
          <cell r="B116" t="str">
            <v>3613</v>
          </cell>
          <cell r="C116" t="str">
            <v>Title XIX Waiver Non-MED</v>
          </cell>
          <cell r="D116" t="str">
            <v>1004087</v>
          </cell>
          <cell r="E116" t="str">
            <v>FEDERAL NON-CATEGORICAL LINKED CONVERSION</v>
          </cell>
          <cell r="F116" t="str">
            <v>TITLE XIX WAIVER GRP/MI 6-13 M/F NON-MEDICARE</v>
          </cell>
        </row>
        <row r="117">
          <cell r="B117" t="str">
            <v>3614</v>
          </cell>
          <cell r="C117" t="str">
            <v>Title XIX Waiver Non-MED</v>
          </cell>
          <cell r="D117" t="str">
            <v>1004087</v>
          </cell>
          <cell r="E117" t="str">
            <v>FEDERAL NON-CATEGORICAL LINKED CONVERSION</v>
          </cell>
          <cell r="F117" t="str">
            <v>TITLE XIX WAIVER GRP/MI 14-20 MALE NON-MEDICARE</v>
          </cell>
        </row>
        <row r="118">
          <cell r="B118" t="str">
            <v>3615</v>
          </cell>
          <cell r="C118" t="str">
            <v>Title XIX Waiver Non-MED</v>
          </cell>
          <cell r="D118" t="str">
            <v>1004087</v>
          </cell>
          <cell r="E118" t="str">
            <v>FEDERAL NON-CATEGORICAL LINKED CONVERSION</v>
          </cell>
          <cell r="F118" t="str">
            <v>TITLE XIX WAIVER GRP/MI 14-20 FEMALE NON-MEDICARE</v>
          </cell>
        </row>
        <row r="119">
          <cell r="B119" t="str">
            <v>3616</v>
          </cell>
          <cell r="C119" t="str">
            <v>Title XIX Waiver Non-MED</v>
          </cell>
          <cell r="D119" t="str">
            <v>1004087</v>
          </cell>
          <cell r="E119" t="str">
            <v>FEDERAL NON-CATEGORICAL LINKED CONVERSION</v>
          </cell>
          <cell r="F119" t="str">
            <v>TITLE XIX WAIVER GRP/MI 21-44 MALE NON-MEDICARE</v>
          </cell>
        </row>
        <row r="120">
          <cell r="B120" t="str">
            <v>3617</v>
          </cell>
          <cell r="C120" t="str">
            <v>Title XIX Waiver Non-MED</v>
          </cell>
          <cell r="D120" t="str">
            <v>1004087</v>
          </cell>
          <cell r="E120" t="str">
            <v>FEDERAL NON-CATEGORICAL LINKED CONVERSION</v>
          </cell>
          <cell r="F120" t="str">
            <v>TITLE XIX WAIVER GRP/MI 21-44 FEMALE NON-MEDICARE</v>
          </cell>
        </row>
        <row r="121">
          <cell r="B121" t="str">
            <v>3618</v>
          </cell>
          <cell r="C121" t="str">
            <v>Title XIX Waiver Non-MED</v>
          </cell>
          <cell r="D121" t="str">
            <v>1004087</v>
          </cell>
          <cell r="E121" t="str">
            <v>FEDERAL NON-CATEGORICAL LINKED CONVERSION</v>
          </cell>
          <cell r="F121" t="str">
            <v>TITLE XIX WAIVER GRP/MI 45-64 M/F NON-MEDICARE</v>
          </cell>
        </row>
        <row r="122">
          <cell r="B122" t="str">
            <v>3619</v>
          </cell>
          <cell r="C122" t="str">
            <v>Title XIX Waiver Non-MED</v>
          </cell>
          <cell r="D122" t="str">
            <v>1004087</v>
          </cell>
          <cell r="E122" t="str">
            <v>FEDERAL NON-CATEGORICAL LINKED CONVERSION</v>
          </cell>
          <cell r="F122" t="str">
            <v>TITLE XIX WAIVER GRP/MI 65+ M/F NON-MEDICARE</v>
          </cell>
        </row>
        <row r="123">
          <cell r="B123" t="str">
            <v>3621</v>
          </cell>
          <cell r="C123" t="str">
            <v>Title XIX Waiver Non-MED</v>
          </cell>
          <cell r="D123" t="str">
            <v>1004087</v>
          </cell>
          <cell r="E123" t="str">
            <v>FEDERAL NON-CATEGORICAL LINKED CONVERSION</v>
          </cell>
          <cell r="F123" t="str">
            <v>TITLE XIX WAIVER GRP/MI &lt;1 M/F WITH QMB</v>
          </cell>
        </row>
        <row r="124">
          <cell r="B124" t="str">
            <v>3622</v>
          </cell>
          <cell r="C124" t="str">
            <v>Title XIX Waiver Non-MED</v>
          </cell>
          <cell r="D124" t="str">
            <v>1004087</v>
          </cell>
          <cell r="E124" t="str">
            <v>FEDERAL NON-CATEGORICAL LINKED CONVERSION</v>
          </cell>
          <cell r="F124" t="str">
            <v>TITLE XIX WAIVER GRP/MI 1-5 M/F WITH QMB</v>
          </cell>
        </row>
        <row r="125">
          <cell r="B125" t="str">
            <v>3623</v>
          </cell>
          <cell r="C125" t="str">
            <v>Title XIX Waiver Non-MED</v>
          </cell>
          <cell r="D125" t="str">
            <v>1004087</v>
          </cell>
          <cell r="E125" t="str">
            <v>FEDERAL NON-CATEGORICAL LINKED CONVERSION</v>
          </cell>
          <cell r="F125" t="str">
            <v>TITLE XIX WAIVER GRP/MI 6-13 M/F WITH QMB</v>
          </cell>
        </row>
        <row r="126">
          <cell r="B126" t="str">
            <v>3624</v>
          </cell>
          <cell r="C126" t="str">
            <v>Title XIX Waiver Non-MED</v>
          </cell>
          <cell r="D126" t="str">
            <v>1004087</v>
          </cell>
          <cell r="E126" t="str">
            <v>FEDERAL NON-CATEGORICAL LINKED CONVERSION</v>
          </cell>
          <cell r="F126" t="str">
            <v>TITLE XIX WAIVER GRP/MI 14-20 MALE WITH QMB</v>
          </cell>
        </row>
        <row r="127">
          <cell r="B127" t="str">
            <v>3625</v>
          </cell>
          <cell r="C127" t="str">
            <v>Title XIX Waiver Non-MED</v>
          </cell>
          <cell r="D127" t="str">
            <v>1004087</v>
          </cell>
          <cell r="E127" t="str">
            <v>FEDERAL NON-CATEGORICAL LINKED CONVERSION</v>
          </cell>
          <cell r="F127" t="str">
            <v>TITLE XIX WAIVER GRP/MI 14-20 FEMALE WITH QMB</v>
          </cell>
        </row>
        <row r="128">
          <cell r="B128" t="str">
            <v>3626</v>
          </cell>
          <cell r="C128" t="str">
            <v>Title XIX Waiver Non-MED</v>
          </cell>
          <cell r="D128" t="str">
            <v>1004087</v>
          </cell>
          <cell r="E128" t="str">
            <v>FEDERAL NON-CATEGORICAL LINKED CONVERSION</v>
          </cell>
          <cell r="F128" t="str">
            <v>TITLE XIX WAIVER GRP/MI 21-44 MALE WITH QMB</v>
          </cell>
        </row>
        <row r="129">
          <cell r="B129" t="str">
            <v>3627</v>
          </cell>
          <cell r="C129" t="str">
            <v>Title XIX Waiver Non-MED</v>
          </cell>
          <cell r="D129" t="str">
            <v>1004087</v>
          </cell>
          <cell r="E129" t="str">
            <v>FEDERAL NON-CATEGORICAL LINKED CONVERSION</v>
          </cell>
          <cell r="F129" t="str">
            <v>TITLE XIX WAIVER GRP/MI 21-44 FEMALE WITH QMB</v>
          </cell>
        </row>
        <row r="130">
          <cell r="B130" t="str">
            <v>3628</v>
          </cell>
          <cell r="C130" t="str">
            <v>Title XIX Waiver Non-MED</v>
          </cell>
          <cell r="D130" t="str">
            <v>1004087</v>
          </cell>
          <cell r="E130" t="str">
            <v>FEDERAL NON-CATEGORICAL LINKED CONVERSION</v>
          </cell>
          <cell r="F130" t="str">
            <v>TITLE XIX WAIVER GRP/MI 45-64  M/F WITH QMB</v>
          </cell>
        </row>
        <row r="131">
          <cell r="B131" t="str">
            <v>3629</v>
          </cell>
          <cell r="C131" t="str">
            <v>Title XIX Waiver Non-MED</v>
          </cell>
          <cell r="D131" t="str">
            <v>1004087</v>
          </cell>
          <cell r="E131" t="str">
            <v>FEDERAL NON-CATEGORICAL LINKED CONVERSION</v>
          </cell>
          <cell r="F131" t="str">
            <v>TITLE XIX WAIVER GRP/MI 65+ M/F WITH QMB</v>
          </cell>
        </row>
        <row r="132">
          <cell r="B132" t="str">
            <v>4101</v>
          </cell>
          <cell r="C132" t="str">
            <v>TANF &lt;1 M/F</v>
          </cell>
          <cell r="D132" t="str">
            <v>1004080</v>
          </cell>
          <cell r="E132" t="str">
            <v>NON-CATEGORICAL</v>
          </cell>
          <cell r="F132" t="str">
            <v>EAC &lt;1 M/F WITH MEDICARE</v>
          </cell>
        </row>
        <row r="133">
          <cell r="B133" t="str">
            <v>4102</v>
          </cell>
          <cell r="C133" t="str">
            <v>TANF 1-13 M/F</v>
          </cell>
          <cell r="D133" t="str">
            <v>1004081</v>
          </cell>
          <cell r="E133" t="str">
            <v>NON-CATEGORICAL</v>
          </cell>
          <cell r="F133" t="str">
            <v>EAC 1-5 M/F WITH MEDICARE</v>
          </cell>
        </row>
        <row r="134">
          <cell r="B134" t="str">
            <v>4103</v>
          </cell>
          <cell r="C134" t="str">
            <v>TANF 1-13 M/F</v>
          </cell>
          <cell r="D134" t="str">
            <v>1004081</v>
          </cell>
          <cell r="E134" t="str">
            <v>NON-CATEGORICAL</v>
          </cell>
          <cell r="F134" t="str">
            <v>EAC 6-13 M/F WITH MEDICARE</v>
          </cell>
        </row>
        <row r="135">
          <cell r="B135" t="str">
            <v>4104</v>
          </cell>
          <cell r="C135" t="str">
            <v>TANF 14-44 M</v>
          </cell>
          <cell r="D135" t="str">
            <v>1004083</v>
          </cell>
          <cell r="E135" t="str">
            <v>NON-CATEGORICAL</v>
          </cell>
          <cell r="F135" t="str">
            <v>EAC 14-20 MALE WITH MEDICARE</v>
          </cell>
        </row>
        <row r="136">
          <cell r="B136" t="str">
            <v>4105</v>
          </cell>
          <cell r="C136" t="str">
            <v>TANF 14-44 F</v>
          </cell>
          <cell r="D136" t="str">
            <v>1004082</v>
          </cell>
          <cell r="E136" t="str">
            <v>NON-CATEGORICAL</v>
          </cell>
          <cell r="F136" t="str">
            <v>EAC 14-20 FEMALE WITH MEDICARE</v>
          </cell>
        </row>
        <row r="137">
          <cell r="B137" t="str">
            <v>4111</v>
          </cell>
          <cell r="C137" t="str">
            <v>TANF &lt;1 M/F</v>
          </cell>
          <cell r="D137" t="str">
            <v>1004080</v>
          </cell>
          <cell r="E137" t="str">
            <v>NON-CATEGORICAL</v>
          </cell>
          <cell r="F137" t="str">
            <v>EAC &lt;1 M/F NON-MEDICARE</v>
          </cell>
        </row>
        <row r="138">
          <cell r="B138" t="str">
            <v>4112</v>
          </cell>
          <cell r="C138" t="str">
            <v>TANF 1-13 M/F</v>
          </cell>
          <cell r="D138" t="str">
            <v>1004081</v>
          </cell>
          <cell r="E138" t="str">
            <v>NON-CATEGORICAL</v>
          </cell>
          <cell r="F138" t="str">
            <v>EAC 1-5 M/F NON-MEDICARE</v>
          </cell>
        </row>
        <row r="139">
          <cell r="B139" t="str">
            <v>4113</v>
          </cell>
          <cell r="C139" t="str">
            <v>TANF 1-13 M/F</v>
          </cell>
          <cell r="D139" t="str">
            <v>1004081</v>
          </cell>
          <cell r="E139" t="str">
            <v>NON-CATEGORICAL</v>
          </cell>
          <cell r="F139" t="str">
            <v>EAC 6-13 M/F NON-MEDICARE</v>
          </cell>
        </row>
        <row r="140">
          <cell r="B140" t="str">
            <v>4114</v>
          </cell>
          <cell r="C140" t="str">
            <v>TANF 14-44 M</v>
          </cell>
          <cell r="D140" t="str">
            <v>1004083</v>
          </cell>
          <cell r="E140" t="str">
            <v>NON-CATEGORICAL</v>
          </cell>
          <cell r="F140" t="str">
            <v>EAC 14-20 MALE NON-MEDICARE</v>
          </cell>
        </row>
        <row r="141">
          <cell r="B141" t="str">
            <v>4115</v>
          </cell>
          <cell r="C141" t="str">
            <v>TANF 14-44 F</v>
          </cell>
          <cell r="D141" t="str">
            <v>1004082</v>
          </cell>
          <cell r="E141" t="str">
            <v>NON-CATEGORICAL</v>
          </cell>
          <cell r="F141" t="str">
            <v>EAC 14-20 FEMALE NON-MEDICARE</v>
          </cell>
        </row>
        <row r="142">
          <cell r="B142" t="str">
            <v>4201</v>
          </cell>
          <cell r="C142" t="str">
            <v>TANF &lt;1 M/F</v>
          </cell>
          <cell r="D142" t="str">
            <v>1004080</v>
          </cell>
          <cell r="E142" t="str">
            <v>NON-CATEGORICAL</v>
          </cell>
          <cell r="F142" t="str">
            <v>ELIC &lt;1 M/F WITH MEDICARE</v>
          </cell>
        </row>
        <row r="143">
          <cell r="B143" t="str">
            <v>4202</v>
          </cell>
          <cell r="C143" t="str">
            <v>TANF 1-13 M/F</v>
          </cell>
          <cell r="D143" t="str">
            <v>1004081</v>
          </cell>
          <cell r="E143" t="str">
            <v>NON-CATEGORICAL</v>
          </cell>
          <cell r="F143" t="str">
            <v>ELIC 1-5 M/F WITH MEDICARE</v>
          </cell>
        </row>
        <row r="144">
          <cell r="B144" t="str">
            <v>4203</v>
          </cell>
          <cell r="C144" t="str">
            <v>TANF 1-13 M/F</v>
          </cell>
          <cell r="D144" t="str">
            <v>1004081</v>
          </cell>
          <cell r="E144" t="str">
            <v>NON-CATEGORICAL</v>
          </cell>
          <cell r="F144" t="str">
            <v>ELIC 6-13 M/F WITH MEDICARE</v>
          </cell>
        </row>
        <row r="145">
          <cell r="B145" t="str">
            <v>4204</v>
          </cell>
          <cell r="C145" t="str">
            <v>TANF 14-44 M</v>
          </cell>
          <cell r="D145" t="str">
            <v>1004083</v>
          </cell>
          <cell r="E145" t="str">
            <v>NON-CATEGORICAL</v>
          </cell>
          <cell r="F145" t="str">
            <v>ELIC 14-20 MALE WITH MEDICARE</v>
          </cell>
        </row>
        <row r="146">
          <cell r="B146" t="str">
            <v>4205</v>
          </cell>
          <cell r="C146" t="str">
            <v>TANF 14-44 F</v>
          </cell>
          <cell r="D146" t="str">
            <v>1004082</v>
          </cell>
          <cell r="E146" t="str">
            <v>NON-CATEGORICAL</v>
          </cell>
          <cell r="F146" t="str">
            <v>ELIC 14-20 FEMALE WITH MEDICARE</v>
          </cell>
        </row>
        <row r="147">
          <cell r="B147" t="str">
            <v>4211</v>
          </cell>
          <cell r="C147" t="str">
            <v>TANF &lt;1 M/F</v>
          </cell>
          <cell r="D147" t="str">
            <v>1004080</v>
          </cell>
          <cell r="E147" t="str">
            <v>NON-CATEGORICAL</v>
          </cell>
          <cell r="F147" t="str">
            <v>ELIC &lt;1 M/F NON-MEDICARE</v>
          </cell>
        </row>
        <row r="148">
          <cell r="B148" t="str">
            <v>4212</v>
          </cell>
          <cell r="C148" t="str">
            <v>TANF 1-13 M/F</v>
          </cell>
          <cell r="D148" t="str">
            <v>1004081</v>
          </cell>
          <cell r="E148" t="str">
            <v>NON-CATEGORICAL</v>
          </cell>
          <cell r="F148" t="str">
            <v>ELIC 1-5 M/F NON-MEDICARE</v>
          </cell>
        </row>
        <row r="149">
          <cell r="B149" t="str">
            <v>4213</v>
          </cell>
          <cell r="C149" t="str">
            <v>TANF 1-13 M/F</v>
          </cell>
          <cell r="D149" t="str">
            <v>1004081</v>
          </cell>
          <cell r="E149" t="str">
            <v>NON-CATEGORICAL</v>
          </cell>
          <cell r="F149" t="str">
            <v>ELIC 6-13 M/F NON-MEDICARE</v>
          </cell>
        </row>
        <row r="150">
          <cell r="B150" t="str">
            <v>4214</v>
          </cell>
          <cell r="C150" t="str">
            <v>TANF 14-44 M</v>
          </cell>
          <cell r="D150" t="str">
            <v>1004083</v>
          </cell>
          <cell r="E150" t="str">
            <v>NON-CATEGORICAL</v>
          </cell>
          <cell r="F150" t="str">
            <v>ELIC 14-20 MALE NON-MEDICARE</v>
          </cell>
        </row>
        <row r="151">
          <cell r="B151" t="str">
            <v>4215</v>
          </cell>
          <cell r="C151" t="str">
            <v>TANF 14-44 F</v>
          </cell>
          <cell r="D151" t="str">
            <v>1004082</v>
          </cell>
          <cell r="E151" t="str">
            <v>NON-CATEGORICAL</v>
          </cell>
          <cell r="F151" t="str">
            <v>ELIC 14-20 FEMALE NON-MEDICARE</v>
          </cell>
        </row>
        <row r="152">
          <cell r="B152" t="str">
            <v>4301</v>
          </cell>
          <cell r="C152" t="str">
            <v>TANF &lt;1 M/F</v>
          </cell>
          <cell r="D152" t="str">
            <v>1004080</v>
          </cell>
          <cell r="E152" t="str">
            <v>CATEGORICAL</v>
          </cell>
          <cell r="F152" t="str">
            <v>SOBRA &lt;1 M/F  WITH MEDICARE</v>
          </cell>
        </row>
        <row r="153">
          <cell r="B153" t="str">
            <v>4302</v>
          </cell>
          <cell r="C153" t="str">
            <v>TANF 1-13 M/F</v>
          </cell>
          <cell r="D153" t="str">
            <v>1004081</v>
          </cell>
          <cell r="E153" t="str">
            <v>CATEGORICAL</v>
          </cell>
          <cell r="F153" t="str">
            <v>SOBRA 1-5 M/F  WITH MEDICARE</v>
          </cell>
        </row>
        <row r="154">
          <cell r="B154" t="str">
            <v>4303</v>
          </cell>
          <cell r="C154" t="str">
            <v>TANF 1-13 M/F</v>
          </cell>
          <cell r="D154" t="str">
            <v>1004081</v>
          </cell>
          <cell r="E154" t="str">
            <v>CATEGORICAL</v>
          </cell>
          <cell r="F154" t="str">
            <v>SOBRA 6-13 M/F  WITH MEDICARE</v>
          </cell>
        </row>
        <row r="155">
          <cell r="B155" t="str">
            <v>4304</v>
          </cell>
          <cell r="C155" t="str">
            <v>TANF 14-44 M</v>
          </cell>
          <cell r="D155" t="str">
            <v>1004083</v>
          </cell>
          <cell r="E155" t="str">
            <v>CATEGORICAL</v>
          </cell>
          <cell r="F155" t="str">
            <v>SOBRA 14-20 MALE  WITH MEDICARE</v>
          </cell>
        </row>
        <row r="156">
          <cell r="B156" t="str">
            <v>4305</v>
          </cell>
          <cell r="C156" t="str">
            <v>TANF 14-44 F</v>
          </cell>
          <cell r="D156" t="str">
            <v>1004082</v>
          </cell>
          <cell r="E156" t="str">
            <v>CATEGORICAL</v>
          </cell>
          <cell r="F156" t="str">
            <v>SOBRA 14-20 FEMALE  WITH MEDICARE</v>
          </cell>
        </row>
        <row r="157">
          <cell r="B157" t="str">
            <v>4311</v>
          </cell>
          <cell r="C157" t="str">
            <v>TANF &lt;1 M/F</v>
          </cell>
          <cell r="D157" t="str">
            <v>1004080</v>
          </cell>
          <cell r="E157" t="str">
            <v>CATEGORICAL</v>
          </cell>
          <cell r="F157" t="str">
            <v>SOBRA &lt;1 M/F  NON-MEDICARE</v>
          </cell>
        </row>
        <row r="158">
          <cell r="B158" t="str">
            <v>4312</v>
          </cell>
          <cell r="C158" t="str">
            <v>TANF 1-13 M/F</v>
          </cell>
          <cell r="D158" t="str">
            <v>1004081</v>
          </cell>
          <cell r="E158" t="str">
            <v>CATEGORICAL</v>
          </cell>
          <cell r="F158" t="str">
            <v>SOBRA 1-5 M/F  NON-MEDICARE</v>
          </cell>
        </row>
        <row r="159">
          <cell r="B159" t="str">
            <v>4313</v>
          </cell>
          <cell r="C159" t="str">
            <v>TANF 1-13 M/F</v>
          </cell>
          <cell r="D159" t="str">
            <v>1004081</v>
          </cell>
          <cell r="E159" t="str">
            <v>CATEGORICAL</v>
          </cell>
          <cell r="F159" t="str">
            <v>SOBRA 6-13 M/F  NON-MEDICARE</v>
          </cell>
        </row>
        <row r="160">
          <cell r="B160" t="str">
            <v>4314</v>
          </cell>
          <cell r="C160" t="str">
            <v>TANF 14-44 M</v>
          </cell>
          <cell r="D160" t="str">
            <v>1004083</v>
          </cell>
          <cell r="E160" t="str">
            <v>CATEGORICAL</v>
          </cell>
          <cell r="F160" t="str">
            <v>SOBRA 14-20 MALE  NON-MEDICARE</v>
          </cell>
        </row>
        <row r="161">
          <cell r="B161" t="str">
            <v>4315</v>
          </cell>
          <cell r="C161" t="str">
            <v>TANF 14-44 F</v>
          </cell>
          <cell r="D161" t="str">
            <v>1004082</v>
          </cell>
          <cell r="E161" t="str">
            <v>CATEGORICAL</v>
          </cell>
          <cell r="F161" t="str">
            <v>SOBRA 14-20 FEMALE  NON-MEDICARE</v>
          </cell>
        </row>
        <row r="162">
          <cell r="B162" t="str">
            <v>4321</v>
          </cell>
          <cell r="C162" t="str">
            <v>TANF &lt;1 M/F</v>
          </cell>
          <cell r="D162" t="str">
            <v>1004080</v>
          </cell>
          <cell r="E162" t="str">
            <v>CATEGORICAL</v>
          </cell>
          <cell r="F162" t="str">
            <v>SOBRA &lt;1 M/F  WITH QMB</v>
          </cell>
        </row>
        <row r="163">
          <cell r="B163" t="str">
            <v>4322</v>
          </cell>
          <cell r="C163" t="str">
            <v>TANF 1-13 M/F</v>
          </cell>
          <cell r="D163" t="str">
            <v>1004081</v>
          </cell>
          <cell r="E163" t="str">
            <v>CATEGORICAL</v>
          </cell>
          <cell r="F163" t="str">
            <v>SOBRA 1-5 M/F  WITH QMB</v>
          </cell>
        </row>
        <row r="164">
          <cell r="B164" t="str">
            <v>4323</v>
          </cell>
          <cell r="C164" t="str">
            <v>TANF 1-13 M/F</v>
          </cell>
          <cell r="D164" t="str">
            <v>1004081</v>
          </cell>
          <cell r="E164" t="str">
            <v>CATEGORICAL</v>
          </cell>
          <cell r="F164" t="str">
            <v>SOBRA 6-13 M/F  WITH QMB</v>
          </cell>
        </row>
        <row r="165">
          <cell r="B165" t="str">
            <v>4324</v>
          </cell>
          <cell r="C165" t="str">
            <v>TANF 14-44 M</v>
          </cell>
          <cell r="D165" t="str">
            <v>1004083</v>
          </cell>
          <cell r="E165" t="str">
            <v>CATEGORICAL</v>
          </cell>
          <cell r="F165" t="str">
            <v>SOBRA 14-20 MALE  WITH QMB</v>
          </cell>
        </row>
        <row r="166">
          <cell r="B166" t="str">
            <v>4325</v>
          </cell>
          <cell r="C166" t="str">
            <v>TANF 14-44 F</v>
          </cell>
          <cell r="D166" t="str">
            <v>1004082</v>
          </cell>
          <cell r="E166" t="str">
            <v>CATEGORICAL</v>
          </cell>
          <cell r="F166" t="str">
            <v>SOBRA 14-20 FEMALE  WITH QMB</v>
          </cell>
        </row>
        <row r="167">
          <cell r="B167" t="str">
            <v>5003</v>
          </cell>
          <cell r="C167" t="str">
            <v>TANF 1-13 M/F</v>
          </cell>
          <cell r="D167" t="str">
            <v>1004081</v>
          </cell>
          <cell r="E167" t="str">
            <v>CATEGORICAL</v>
          </cell>
          <cell r="F167" t="str">
            <v>SOBRA PREG 9-13 FEMALE WITH MEDICARE</v>
          </cell>
        </row>
        <row r="168">
          <cell r="B168" t="str">
            <v>5005</v>
          </cell>
          <cell r="C168" t="str">
            <v>SOBRA MOM</v>
          </cell>
          <cell r="D168" t="str">
            <v>1004088</v>
          </cell>
          <cell r="E168" t="str">
            <v>CATEGORICAL</v>
          </cell>
          <cell r="F168" t="str">
            <v>SOBRA PREG 14-20 FEMALE WITH MEDICARE</v>
          </cell>
        </row>
        <row r="169">
          <cell r="B169" t="str">
            <v>5007</v>
          </cell>
          <cell r="C169" t="str">
            <v>SOBRA MOM</v>
          </cell>
          <cell r="D169" t="str">
            <v>1004088</v>
          </cell>
          <cell r="E169" t="str">
            <v>CATEGORICAL</v>
          </cell>
          <cell r="F169" t="str">
            <v>SOBRA PREG 21-44 FEMALE WITH MEDICARE</v>
          </cell>
        </row>
        <row r="170">
          <cell r="B170" t="str">
            <v>5008</v>
          </cell>
          <cell r="C170" t="str">
            <v>SOBRA MOM</v>
          </cell>
          <cell r="D170" t="str">
            <v>1004088</v>
          </cell>
          <cell r="E170" t="str">
            <v>CATEGORICAL</v>
          </cell>
          <cell r="F170" t="str">
            <v>SOBRA PREG 45-64 FEMALE WITH MEDICARE</v>
          </cell>
        </row>
        <row r="171">
          <cell r="B171" t="str">
            <v>5013</v>
          </cell>
          <cell r="C171" t="str">
            <v>TANF 1-13 M/F</v>
          </cell>
          <cell r="D171" t="str">
            <v>1004081</v>
          </cell>
          <cell r="E171" t="str">
            <v>CATEGORICAL</v>
          </cell>
          <cell r="F171" t="str">
            <v>SOBRA PREG 9-13 FEMALE WITH NON-MEDICARE</v>
          </cell>
        </row>
        <row r="172">
          <cell r="B172" t="str">
            <v>5015</v>
          </cell>
          <cell r="C172" t="str">
            <v>SOBRA MOM</v>
          </cell>
          <cell r="D172" t="str">
            <v>1004088</v>
          </cell>
          <cell r="E172" t="str">
            <v>CATEGORICAL</v>
          </cell>
          <cell r="F172" t="str">
            <v>SOBRA PREG 14-20 FEMALE WITH NON-MEDICARE</v>
          </cell>
        </row>
        <row r="173">
          <cell r="B173" t="str">
            <v>5017</v>
          </cell>
          <cell r="C173" t="str">
            <v>SOBRA MOM</v>
          </cell>
          <cell r="D173" t="str">
            <v>1004088</v>
          </cell>
          <cell r="E173" t="str">
            <v>CATEGORICAL</v>
          </cell>
          <cell r="F173" t="str">
            <v>SOBRA PREG 21-44 FEMALE WITH NON-MEDICARE</v>
          </cell>
        </row>
        <row r="174">
          <cell r="B174" t="str">
            <v>5018</v>
          </cell>
          <cell r="C174" t="str">
            <v>SOBRA MOM</v>
          </cell>
          <cell r="D174" t="str">
            <v>1004088</v>
          </cell>
          <cell r="E174" t="str">
            <v>CATEGORICAL</v>
          </cell>
          <cell r="F174" t="str">
            <v>SOBRA PREG 45-64 FEMALE WITH NON-MEDICARE</v>
          </cell>
        </row>
        <row r="175">
          <cell r="B175" t="str">
            <v>5023</v>
          </cell>
          <cell r="C175" t="str">
            <v>TANF 1-13 M/F</v>
          </cell>
          <cell r="D175" t="str">
            <v>1004081</v>
          </cell>
          <cell r="E175" t="str">
            <v>CATEGORICAL</v>
          </cell>
          <cell r="F175" t="str">
            <v>SOBRA PREG 9-13 FEMALE WITH QMB</v>
          </cell>
        </row>
        <row r="176">
          <cell r="B176" t="str">
            <v>5025</v>
          </cell>
          <cell r="C176" t="str">
            <v>SOBRA MOM</v>
          </cell>
          <cell r="D176" t="str">
            <v>1004088</v>
          </cell>
          <cell r="E176" t="str">
            <v>CATEGORICAL</v>
          </cell>
          <cell r="F176" t="str">
            <v>SOBRA PREG 14-20 FEMALE WITH QMB</v>
          </cell>
        </row>
        <row r="177">
          <cell r="B177" t="str">
            <v>5027</v>
          </cell>
          <cell r="C177" t="str">
            <v>SOBRA MOM</v>
          </cell>
          <cell r="D177" t="str">
            <v>1004088</v>
          </cell>
          <cell r="E177" t="str">
            <v>CATEGORICAL</v>
          </cell>
          <cell r="F177" t="str">
            <v>SOBRA PREG 21-44 FEMALE WITH QMB</v>
          </cell>
        </row>
        <row r="178">
          <cell r="B178" t="str">
            <v>5028</v>
          </cell>
          <cell r="C178" t="str">
            <v>SOBRA MOM</v>
          </cell>
          <cell r="D178" t="str">
            <v>1004088</v>
          </cell>
          <cell r="E178" t="str">
            <v>CATEGORICAL</v>
          </cell>
          <cell r="F178" t="str">
            <v>SOBRA PREG 45-64 FEMALE WITH QMB</v>
          </cell>
        </row>
        <row r="179">
          <cell r="B179" t="str">
            <v>5500</v>
          </cell>
          <cell r="C179" t="str">
            <v>SOBRA FAMILY PLANNING</v>
          </cell>
          <cell r="D179" t="str">
            <v>1004089</v>
          </cell>
          <cell r="E179" t="str">
            <v>CATEGORICAL</v>
          </cell>
          <cell r="F179" t="str">
            <v>SOBRA FPS FEMALE WITH MEDICARE</v>
          </cell>
        </row>
        <row r="180">
          <cell r="B180" t="str">
            <v>5510</v>
          </cell>
          <cell r="C180" t="str">
            <v>SOBRA FAMILY PLANNING</v>
          </cell>
          <cell r="D180" t="str">
            <v>1004089</v>
          </cell>
          <cell r="E180" t="str">
            <v>CATEGORICAL</v>
          </cell>
          <cell r="F180" t="str">
            <v>SOBRA FPS FEMALE NON-MEDICARE</v>
          </cell>
        </row>
        <row r="181">
          <cell r="B181" t="str">
            <v>5520</v>
          </cell>
          <cell r="C181" t="str">
            <v>SOBRA FAMILY PLANNING</v>
          </cell>
          <cell r="D181" t="str">
            <v>1004089</v>
          </cell>
          <cell r="E181" t="str">
            <v>CATEGORICAL</v>
          </cell>
          <cell r="F181" t="str">
            <v>SOBRA FPS FEMALE WITH QMB</v>
          </cell>
        </row>
        <row r="182">
          <cell r="B182" t="str">
            <v>6011</v>
          </cell>
          <cell r="C182" t="str">
            <v>KIDS CARE &lt;1 M/F</v>
          </cell>
          <cell r="D182" t="str">
            <v>1004090</v>
          </cell>
          <cell r="E182" t="str">
            <v>Non Categorical</v>
          </cell>
          <cell r="F182" t="str">
            <v>KIDS &lt;1 M/F NON-MEDICARE</v>
          </cell>
        </row>
        <row r="183">
          <cell r="B183" t="str">
            <v>6012</v>
          </cell>
          <cell r="C183" t="str">
            <v>KIDS CARE 1-13 M/F</v>
          </cell>
          <cell r="D183" t="str">
            <v>1004091</v>
          </cell>
          <cell r="E183" t="str">
            <v>Non Categorical</v>
          </cell>
          <cell r="F183" t="str">
            <v>KIDS 1-5 M/F NON-MEDICARE</v>
          </cell>
        </row>
        <row r="184">
          <cell r="B184" t="str">
            <v>6013</v>
          </cell>
          <cell r="C184" t="str">
            <v>KIDS CARE 1-13 M/F</v>
          </cell>
          <cell r="D184" t="str">
            <v>1004091</v>
          </cell>
          <cell r="E184" t="str">
            <v>Non Categorical</v>
          </cell>
          <cell r="F184" t="str">
            <v>KIDS 6-13 M/F NON-MEDICARE</v>
          </cell>
        </row>
        <row r="185">
          <cell r="B185" t="str">
            <v>6014</v>
          </cell>
          <cell r="C185" t="str">
            <v>KIDS CARE 14-18 M</v>
          </cell>
          <cell r="D185" t="str">
            <v>1004092</v>
          </cell>
          <cell r="E185" t="str">
            <v>Non Categorical</v>
          </cell>
          <cell r="F185" t="str">
            <v>KIDS 14-19 MALE NON-MEDICARE</v>
          </cell>
        </row>
        <row r="186">
          <cell r="B186" t="str">
            <v>6015</v>
          </cell>
          <cell r="C186" t="str">
            <v>KIDS CARE 14-18 F</v>
          </cell>
          <cell r="D186" t="str">
            <v>1004093</v>
          </cell>
          <cell r="E186" t="str">
            <v>Non Categorical</v>
          </cell>
          <cell r="F186" t="str">
            <v>KIDS 14-19 FEMALE NON-MEDICARE</v>
          </cell>
        </row>
        <row r="187">
          <cell r="B187" t="str">
            <v>8500</v>
          </cell>
          <cell r="C187" t="str">
            <v>SSI W/MED</v>
          </cell>
          <cell r="D187" t="str">
            <v>1004085</v>
          </cell>
          <cell r="E187" t="str">
            <v>CATEGORICAL</v>
          </cell>
          <cell r="F187" t="str">
            <v>SSI AGED TICKET/WORK WITH MEDICARE</v>
          </cell>
        </row>
        <row r="188">
          <cell r="B188" t="str">
            <v>8510</v>
          </cell>
          <cell r="C188" t="str">
            <v>SSI W/MED</v>
          </cell>
          <cell r="D188" t="str">
            <v>1004086</v>
          </cell>
          <cell r="E188" t="str">
            <v>CATEGORICAL</v>
          </cell>
          <cell r="F188" t="str">
            <v>SSI AGED TICKET/WORK NON-MEDICARE</v>
          </cell>
        </row>
        <row r="189">
          <cell r="B189" t="str">
            <v>8520</v>
          </cell>
          <cell r="C189" t="str">
            <v>SSI W/MED</v>
          </cell>
          <cell r="D189" t="str">
            <v>1004085</v>
          </cell>
          <cell r="E189" t="str">
            <v>CATEGORICAL</v>
          </cell>
          <cell r="F189" t="str">
            <v>SSI AGED TICKET/WORK WITH QMB</v>
          </cell>
        </row>
        <row r="190">
          <cell r="B190" t="str">
            <v>8600</v>
          </cell>
          <cell r="C190" t="str">
            <v>SSI W/MED</v>
          </cell>
          <cell r="D190" t="str">
            <v>1004085</v>
          </cell>
          <cell r="E190" t="str">
            <v>CATEGORICAL</v>
          </cell>
          <cell r="F190" t="str">
            <v>SSI BLIND TICKET/WORK WITH MEDICARE</v>
          </cell>
        </row>
        <row r="191">
          <cell r="B191" t="str">
            <v>8610</v>
          </cell>
          <cell r="C191" t="str">
            <v>SSI W/MED</v>
          </cell>
          <cell r="D191" t="str">
            <v>1004086</v>
          </cell>
          <cell r="E191" t="str">
            <v>CATEGORICAL</v>
          </cell>
          <cell r="F191" t="str">
            <v>SSI BLIND TICKET/WORK NON-MEDICARE</v>
          </cell>
        </row>
        <row r="192">
          <cell r="B192" t="str">
            <v>8620</v>
          </cell>
          <cell r="C192" t="str">
            <v>SSI W/MED</v>
          </cell>
          <cell r="D192" t="str">
            <v>1004085</v>
          </cell>
          <cell r="E192" t="str">
            <v>CATEGORICAL</v>
          </cell>
          <cell r="F192" t="str">
            <v>SSI BLIND TICKET/WORK WITH QMB</v>
          </cell>
        </row>
        <row r="193">
          <cell r="B193" t="str">
            <v>8700</v>
          </cell>
          <cell r="C193" t="str">
            <v>SSI W/MED</v>
          </cell>
          <cell r="D193" t="str">
            <v>1004085</v>
          </cell>
          <cell r="E193" t="str">
            <v>CATEGORICAL</v>
          </cell>
          <cell r="F193" t="str">
            <v>SSI DISABLED TICKET/WORK WITH MEDICARE</v>
          </cell>
        </row>
        <row r="194">
          <cell r="B194" t="str">
            <v>8710</v>
          </cell>
          <cell r="C194" t="str">
            <v>SSI W/O MED</v>
          </cell>
          <cell r="D194" t="str">
            <v>1004086</v>
          </cell>
          <cell r="E194" t="str">
            <v>CATEGORICAL</v>
          </cell>
          <cell r="F194" t="str">
            <v>SSI DISABLED TICKET/WORK NON-MEDICARE</v>
          </cell>
        </row>
        <row r="195">
          <cell r="B195" t="str">
            <v>8720</v>
          </cell>
          <cell r="C195" t="str">
            <v>SSI W/MED</v>
          </cell>
          <cell r="D195" t="str">
            <v>1004085</v>
          </cell>
          <cell r="E195" t="str">
            <v>CATEGORICAL</v>
          </cell>
          <cell r="F195" t="str">
            <v>SSI DISABLED TICKET/WORK WITH QMB</v>
          </cell>
        </row>
        <row r="196">
          <cell r="B196" t="str">
            <v>9000</v>
          </cell>
          <cell r="C196" t="str">
            <v>PRIOR PERIOD COVERAGE (PPC)</v>
          </cell>
          <cell r="D196" t="str">
            <v>1004070</v>
          </cell>
          <cell r="E196" t="e">
            <v>#N/A</v>
          </cell>
          <cell r="F196" t="e">
            <v>#N/A</v>
          </cell>
        </row>
        <row r="197">
          <cell r="B197" t="str">
            <v>9001</v>
          </cell>
          <cell r="C197" t="str">
            <v>PRIOR PERIOD COVERAGE (PPC)</v>
          </cell>
          <cell r="D197" t="str">
            <v>1004071</v>
          </cell>
          <cell r="E197" t="e">
            <v>#N/A</v>
          </cell>
          <cell r="F197" t="e">
            <v>#N/A</v>
          </cell>
        </row>
        <row r="198">
          <cell r="B198" t="str">
            <v>9002</v>
          </cell>
          <cell r="C198" t="str">
            <v>PRIOR PERIOD COVERAGE (PPC)</v>
          </cell>
          <cell r="D198" t="str">
            <v>1004071</v>
          </cell>
          <cell r="E198" t="e">
            <v>#N/A</v>
          </cell>
          <cell r="F198" t="e">
            <v>#N/A</v>
          </cell>
        </row>
        <row r="199">
          <cell r="B199" t="str">
            <v>9003</v>
          </cell>
          <cell r="C199" t="str">
            <v>PRIOR PERIOD COVERAGE (PPC)</v>
          </cell>
          <cell r="D199" t="str">
            <v>1004073</v>
          </cell>
          <cell r="E199" t="e">
            <v>#N/A</v>
          </cell>
          <cell r="F199" t="e">
            <v>#N/A</v>
          </cell>
        </row>
        <row r="200">
          <cell r="B200" t="str">
            <v>9004</v>
          </cell>
          <cell r="C200" t="str">
            <v>PRIOR PERIOD COVERAGE (PPC)</v>
          </cell>
          <cell r="D200" t="str">
            <v>1004072</v>
          </cell>
          <cell r="E200" t="e">
            <v>#N/A</v>
          </cell>
          <cell r="F200" t="e">
            <v>#N/A</v>
          </cell>
        </row>
        <row r="201">
          <cell r="B201" t="str">
            <v>9005</v>
          </cell>
          <cell r="C201" t="str">
            <v>PRIOR PERIOD COVERAGE (PPC)</v>
          </cell>
          <cell r="D201" t="str">
            <v>1004073</v>
          </cell>
          <cell r="E201" t="e">
            <v>#N/A</v>
          </cell>
          <cell r="F201" t="e">
            <v>#N/A</v>
          </cell>
        </row>
        <row r="202">
          <cell r="B202" t="str">
            <v>9006</v>
          </cell>
          <cell r="C202" t="str">
            <v>PRIOR PERIOD COVERAGE (PPC)</v>
          </cell>
          <cell r="D202" t="str">
            <v>1004072</v>
          </cell>
          <cell r="E202" t="e">
            <v>#N/A</v>
          </cell>
          <cell r="F202" t="e">
            <v>#N/A</v>
          </cell>
        </row>
        <row r="203">
          <cell r="B203" t="str">
            <v>9007</v>
          </cell>
          <cell r="C203" t="str">
            <v>PRIOR PERIOD COVERAGE (PPC)</v>
          </cell>
          <cell r="D203" t="str">
            <v>1004074</v>
          </cell>
          <cell r="E203" t="e">
            <v>#N/A</v>
          </cell>
          <cell r="F203" t="e">
            <v>#N/A</v>
          </cell>
        </row>
        <row r="204">
          <cell r="B204" t="str">
            <v>9008</v>
          </cell>
          <cell r="C204" t="str">
            <v>PRIOR PERIOD COVERAGE (PPC)</v>
          </cell>
          <cell r="D204" t="str">
            <v>1004074</v>
          </cell>
          <cell r="E204" t="e">
            <v>#N/A</v>
          </cell>
          <cell r="F204" t="e">
            <v>#N/A</v>
          </cell>
        </row>
        <row r="205">
          <cell r="B205" t="str">
            <v>9009</v>
          </cell>
          <cell r="C205" t="str">
            <v>PRIOR PERIOD COVERAGE (PPC)</v>
          </cell>
          <cell r="D205" t="str">
            <v>1004070</v>
          </cell>
          <cell r="E205" t="e">
            <v>#N/A</v>
          </cell>
          <cell r="F205" t="e">
            <v>#N/A</v>
          </cell>
        </row>
        <row r="206">
          <cell r="B206" t="str">
            <v>9010</v>
          </cell>
          <cell r="C206" t="str">
            <v>PRIOR PERIOD COVERAGE (PPC)</v>
          </cell>
          <cell r="D206" t="str">
            <v>1004071</v>
          </cell>
          <cell r="E206" t="e">
            <v>#N/A</v>
          </cell>
          <cell r="F206" t="e">
            <v>#N/A</v>
          </cell>
        </row>
        <row r="207">
          <cell r="B207" t="str">
            <v>9011</v>
          </cell>
          <cell r="C207" t="str">
            <v>PRIOR PERIOD COVERAGE (PPC)</v>
          </cell>
          <cell r="D207" t="str">
            <v>1004071</v>
          </cell>
          <cell r="E207" t="e">
            <v>#N/A</v>
          </cell>
          <cell r="F207" t="e">
            <v>#N/A</v>
          </cell>
        </row>
        <row r="208">
          <cell r="B208" t="str">
            <v>9012</v>
          </cell>
          <cell r="C208" t="str">
            <v>PRIOR PERIOD COVERAGE (PPC)</v>
          </cell>
          <cell r="D208" t="str">
            <v>1004073</v>
          </cell>
          <cell r="E208" t="e">
            <v>#N/A</v>
          </cell>
          <cell r="F208" t="e">
            <v>#N/A</v>
          </cell>
        </row>
        <row r="209">
          <cell r="B209" t="str">
            <v>9013</v>
          </cell>
          <cell r="C209" t="str">
            <v>PRIOR PERIOD COVERAGE (PPC)</v>
          </cell>
          <cell r="D209" t="str">
            <v>1004072</v>
          </cell>
          <cell r="E209" t="e">
            <v>#N/A</v>
          </cell>
          <cell r="F209" t="e">
            <v>#N/A</v>
          </cell>
        </row>
        <row r="210">
          <cell r="B210" t="str">
            <v>9014</v>
          </cell>
          <cell r="C210" t="str">
            <v>PRIOR PERIOD COVERAGE (PPC)</v>
          </cell>
          <cell r="D210" t="str">
            <v>1004073</v>
          </cell>
          <cell r="E210" t="e">
            <v>#N/A</v>
          </cell>
          <cell r="F210" t="e">
            <v>#N/A</v>
          </cell>
        </row>
        <row r="211">
          <cell r="B211" t="str">
            <v>9015</v>
          </cell>
          <cell r="C211" t="str">
            <v>PRIOR PERIOD COVERAGE (PPC)</v>
          </cell>
          <cell r="D211" t="str">
            <v>1004072</v>
          </cell>
          <cell r="E211" t="e">
            <v>#N/A</v>
          </cell>
          <cell r="F211" t="e">
            <v>#N/A</v>
          </cell>
        </row>
        <row r="212">
          <cell r="B212" t="str">
            <v>9016</v>
          </cell>
          <cell r="C212" t="str">
            <v>PRIOR PERIOD COVERAGE (PPC)</v>
          </cell>
          <cell r="D212" t="str">
            <v>1004074</v>
          </cell>
          <cell r="E212" t="e">
            <v>#N/A</v>
          </cell>
          <cell r="F212" t="e">
            <v>#N/A</v>
          </cell>
        </row>
        <row r="213">
          <cell r="B213" t="str">
            <v>9017</v>
          </cell>
          <cell r="C213" t="str">
            <v>PRIOR PERIOD COVERAGE (PPC)</v>
          </cell>
          <cell r="D213" t="str">
            <v>1004074</v>
          </cell>
          <cell r="E213" t="e">
            <v>#N/A</v>
          </cell>
          <cell r="F213" t="e">
            <v>#N/A</v>
          </cell>
        </row>
        <row r="214">
          <cell r="B214" t="str">
            <v>9018</v>
          </cell>
          <cell r="C214" t="str">
            <v>PRIOR PERIOD COVERAGE (PPC)</v>
          </cell>
          <cell r="D214" t="str">
            <v>1004070</v>
          </cell>
          <cell r="E214" t="e">
            <v>#N/A</v>
          </cell>
          <cell r="F214" t="e">
            <v>#N/A</v>
          </cell>
        </row>
        <row r="215">
          <cell r="B215" t="str">
            <v>9019</v>
          </cell>
          <cell r="C215" t="str">
            <v>PRIOR PERIOD COVERAGE (PPC)</v>
          </cell>
          <cell r="D215" t="str">
            <v>1004071</v>
          </cell>
          <cell r="E215" t="e">
            <v>#N/A</v>
          </cell>
          <cell r="F215" t="e">
            <v>#N/A</v>
          </cell>
        </row>
        <row r="216">
          <cell r="B216" t="str">
            <v>9020</v>
          </cell>
          <cell r="C216" t="str">
            <v>PRIOR PERIOD COVERAGE (PPC)</v>
          </cell>
          <cell r="D216" t="str">
            <v>1004071</v>
          </cell>
          <cell r="E216" t="e">
            <v>#N/A</v>
          </cell>
          <cell r="F216" t="e">
            <v>#N/A</v>
          </cell>
        </row>
        <row r="217">
          <cell r="B217" t="str">
            <v>9021</v>
          </cell>
          <cell r="C217" t="str">
            <v>PRIOR PERIOD COVERAGE (PPC)</v>
          </cell>
          <cell r="D217" t="str">
            <v>1004073</v>
          </cell>
          <cell r="E217" t="e">
            <v>#N/A</v>
          </cell>
          <cell r="F217" t="e">
            <v>#N/A</v>
          </cell>
        </row>
        <row r="218">
          <cell r="B218" t="str">
            <v>9022</v>
          </cell>
          <cell r="C218" t="str">
            <v>PRIOR PERIOD COVERAGE (PPC)</v>
          </cell>
          <cell r="D218" t="str">
            <v>1004072</v>
          </cell>
          <cell r="E218" t="e">
            <v>#N/A</v>
          </cell>
          <cell r="F218" t="e">
            <v>#N/A</v>
          </cell>
        </row>
        <row r="219">
          <cell r="B219" t="str">
            <v>9023</v>
          </cell>
          <cell r="C219" t="str">
            <v>PRIOR PERIOD COVERAGE (PPC)</v>
          </cell>
          <cell r="D219" t="str">
            <v>1004073</v>
          </cell>
          <cell r="E219" t="e">
            <v>#N/A</v>
          </cell>
          <cell r="F219" t="e">
            <v>#N/A</v>
          </cell>
        </row>
        <row r="220">
          <cell r="B220" t="str">
            <v>9024</v>
          </cell>
          <cell r="C220" t="str">
            <v>PRIOR PERIOD COVERAGE (PPC)</v>
          </cell>
          <cell r="D220" t="str">
            <v>1004072</v>
          </cell>
          <cell r="E220" t="e">
            <v>#N/A</v>
          </cell>
          <cell r="F220" t="e">
            <v>#N/A</v>
          </cell>
        </row>
        <row r="221">
          <cell r="B221" t="str">
            <v>9025</v>
          </cell>
          <cell r="C221" t="str">
            <v>PRIOR PERIOD COVERAGE (PPC)</v>
          </cell>
          <cell r="D221" t="str">
            <v>1004074</v>
          </cell>
          <cell r="E221" t="e">
            <v>#N/A</v>
          </cell>
          <cell r="F221" t="e">
            <v>#N/A</v>
          </cell>
        </row>
        <row r="222">
          <cell r="B222" t="str">
            <v>9026</v>
          </cell>
          <cell r="C222" t="str">
            <v>PRIOR PERIOD COVERAGE (PPC)</v>
          </cell>
          <cell r="D222" t="str">
            <v>1004074</v>
          </cell>
          <cell r="E222" t="e">
            <v>#N/A</v>
          </cell>
          <cell r="F222" t="e">
            <v>#N/A</v>
          </cell>
        </row>
        <row r="223">
          <cell r="B223" t="str">
            <v>9027</v>
          </cell>
          <cell r="C223" t="str">
            <v>PRIOR PERIOD COVERAGE (PPC)</v>
          </cell>
          <cell r="D223" t="str">
            <v>1004075</v>
          </cell>
          <cell r="E223" t="e">
            <v>#N/A</v>
          </cell>
          <cell r="F223" t="e">
            <v>#N/A</v>
          </cell>
        </row>
        <row r="224">
          <cell r="B224" t="str">
            <v>9028</v>
          </cell>
          <cell r="C224" t="str">
            <v>PRIOR PERIOD COVERAGE (PPC)</v>
          </cell>
          <cell r="D224" t="str">
            <v>1004075</v>
          </cell>
          <cell r="E224" t="e">
            <v>#N/A</v>
          </cell>
          <cell r="F224" t="e">
            <v>#N/A</v>
          </cell>
        </row>
        <row r="225">
          <cell r="B225" t="str">
            <v>9029</v>
          </cell>
          <cell r="C225" t="str">
            <v>PRIOR PERIOD COVERAGE (PPC)</v>
          </cell>
          <cell r="D225" t="str">
            <v>1004075</v>
          </cell>
          <cell r="E225" t="e">
            <v>#N/A</v>
          </cell>
          <cell r="F225" t="e">
            <v>#N/A</v>
          </cell>
        </row>
        <row r="226">
          <cell r="B226" t="str">
            <v>9030</v>
          </cell>
          <cell r="C226" t="str">
            <v>PRIOR PERIOD COVERAGE (PPC)</v>
          </cell>
          <cell r="D226" t="str">
            <v>1004075</v>
          </cell>
          <cell r="E226" t="e">
            <v>#N/A</v>
          </cell>
          <cell r="F226" t="e">
            <v>#N/A</v>
          </cell>
        </row>
        <row r="227">
          <cell r="B227" t="str">
            <v>9031</v>
          </cell>
          <cell r="C227" t="str">
            <v>PRIOR PERIOD COVERAGE (PPC)</v>
          </cell>
          <cell r="D227" t="str">
            <v>1004075</v>
          </cell>
          <cell r="E227" t="e">
            <v>#N/A</v>
          </cell>
          <cell r="F227" t="e">
            <v>#N/A</v>
          </cell>
        </row>
        <row r="228">
          <cell r="B228" t="str">
            <v>9032</v>
          </cell>
          <cell r="C228" t="str">
            <v>PRIOR PERIOD COVERAGE (PPC)</v>
          </cell>
          <cell r="D228" t="str">
            <v>1004075</v>
          </cell>
          <cell r="E228" t="e">
            <v>#N/A</v>
          </cell>
          <cell r="F228" t="e">
            <v>#N/A</v>
          </cell>
        </row>
        <row r="229">
          <cell r="B229" t="str">
            <v>9033</v>
          </cell>
          <cell r="C229" t="str">
            <v>PRIOR PERIOD COVERAGE (PPC)</v>
          </cell>
          <cell r="D229" t="str">
            <v>1004076</v>
          </cell>
          <cell r="E229" t="e">
            <v>#N/A</v>
          </cell>
          <cell r="F229" t="e">
            <v>#N/A</v>
          </cell>
        </row>
        <row r="230">
          <cell r="B230" t="str">
            <v>9034</v>
          </cell>
          <cell r="C230" t="str">
            <v>PRIOR PERIOD COVERAGE (PPC)</v>
          </cell>
          <cell r="D230" t="str">
            <v>1004076</v>
          </cell>
          <cell r="E230" t="e">
            <v>#N/A</v>
          </cell>
          <cell r="F230" t="e">
            <v>#N/A</v>
          </cell>
        </row>
        <row r="231">
          <cell r="B231" t="str">
            <v>9035</v>
          </cell>
          <cell r="C231" t="str">
            <v>PRIOR PERIOD COVERAGE (PPC)</v>
          </cell>
          <cell r="D231" t="str">
            <v>1004076</v>
          </cell>
          <cell r="E231" t="e">
            <v>#N/A</v>
          </cell>
          <cell r="F231" t="e">
            <v>#N/A</v>
          </cell>
        </row>
        <row r="232">
          <cell r="B232" t="str">
            <v>9036</v>
          </cell>
          <cell r="C232" t="str">
            <v>PRIOR PERIOD COVERAGE (PPC)</v>
          </cell>
          <cell r="D232" t="str">
            <v>1004077</v>
          </cell>
          <cell r="E232" t="e">
            <v>#N/A</v>
          </cell>
          <cell r="F232" t="e">
            <v>#N/A</v>
          </cell>
        </row>
        <row r="233">
          <cell r="B233" t="str">
            <v>9037</v>
          </cell>
          <cell r="C233" t="str">
            <v>PRIOR PERIOD COVERAGE (PPC)</v>
          </cell>
          <cell r="D233" t="str">
            <v>1004077</v>
          </cell>
          <cell r="E233" t="e">
            <v>#N/A</v>
          </cell>
          <cell r="F233" t="e">
            <v>#N/A</v>
          </cell>
        </row>
        <row r="234">
          <cell r="B234" t="str">
            <v>9038</v>
          </cell>
          <cell r="C234" t="str">
            <v>PRIOR PERIOD COVERAGE (PPC)</v>
          </cell>
          <cell r="D234" t="str">
            <v>1004070</v>
          </cell>
          <cell r="E234" t="e">
            <v>#N/A</v>
          </cell>
          <cell r="F234" t="e">
            <v>#N/A</v>
          </cell>
        </row>
        <row r="235">
          <cell r="B235" t="str">
            <v>9039</v>
          </cell>
          <cell r="C235" t="str">
            <v>PRIOR PERIOD COVERAGE (PPC)</v>
          </cell>
          <cell r="D235" t="str">
            <v>1004071</v>
          </cell>
          <cell r="E235" t="e">
            <v>#N/A</v>
          </cell>
          <cell r="F235" t="e">
            <v>#N/A</v>
          </cell>
        </row>
        <row r="236">
          <cell r="B236" t="str">
            <v>9040</v>
          </cell>
          <cell r="C236" t="str">
            <v>PRIOR PERIOD COVERAGE (PPC)</v>
          </cell>
          <cell r="D236" t="str">
            <v>1004071</v>
          </cell>
          <cell r="E236" t="e">
            <v>#N/A</v>
          </cell>
          <cell r="F236" t="e">
            <v>#N/A</v>
          </cell>
        </row>
        <row r="237">
          <cell r="B237" t="str">
            <v>9041</v>
          </cell>
          <cell r="C237" t="str">
            <v>PRIOR PERIOD COVERAGE (PPC)</v>
          </cell>
          <cell r="D237" t="str">
            <v>1004073</v>
          </cell>
          <cell r="E237" t="e">
            <v>#N/A</v>
          </cell>
          <cell r="F237" t="e">
            <v>#N/A</v>
          </cell>
        </row>
        <row r="238">
          <cell r="B238" t="str">
            <v>9042</v>
          </cell>
          <cell r="C238" t="str">
            <v>PRIOR PERIOD COVERAGE (PPC)</v>
          </cell>
          <cell r="D238" t="str">
            <v>1004072</v>
          </cell>
          <cell r="E238" t="e">
            <v>#N/A</v>
          </cell>
          <cell r="F238" t="e">
            <v>#N/A</v>
          </cell>
        </row>
        <row r="239">
          <cell r="B239" t="str">
            <v>9043</v>
          </cell>
          <cell r="C239" t="str">
            <v>PRIOR PERIOD COVERAGE (PPC)</v>
          </cell>
          <cell r="D239" t="str">
            <v>1004070</v>
          </cell>
          <cell r="E239" t="e">
            <v>#N/A</v>
          </cell>
          <cell r="F239" t="e">
            <v>#N/A</v>
          </cell>
        </row>
        <row r="240">
          <cell r="B240" t="str">
            <v>9044</v>
          </cell>
          <cell r="C240" t="str">
            <v>PRIOR PERIOD COVERAGE (PPC)</v>
          </cell>
          <cell r="D240" t="str">
            <v>1004071</v>
          </cell>
          <cell r="E240" t="e">
            <v>#N/A</v>
          </cell>
          <cell r="F240" t="e">
            <v>#N/A</v>
          </cell>
        </row>
        <row r="241">
          <cell r="B241" t="str">
            <v>9045</v>
          </cell>
          <cell r="C241" t="str">
            <v>PRIOR PERIOD COVERAGE (PPC)</v>
          </cell>
          <cell r="D241" t="str">
            <v>1004071</v>
          </cell>
          <cell r="E241" t="e">
            <v>#N/A</v>
          </cell>
          <cell r="F241" t="e">
            <v>#N/A</v>
          </cell>
        </row>
        <row r="242">
          <cell r="B242" t="str">
            <v>9046</v>
          </cell>
          <cell r="C242" t="str">
            <v>PRIOR PERIOD COVERAGE (PPC)</v>
          </cell>
          <cell r="D242" t="str">
            <v>1004073</v>
          </cell>
          <cell r="E242" t="e">
            <v>#N/A</v>
          </cell>
          <cell r="F242" t="e">
            <v>#N/A</v>
          </cell>
        </row>
        <row r="243">
          <cell r="B243" t="str">
            <v>9047</v>
          </cell>
          <cell r="C243" t="str">
            <v>PRIOR PERIOD COVERAGE (PPC)</v>
          </cell>
          <cell r="D243" t="str">
            <v>1004072</v>
          </cell>
          <cell r="E243" t="e">
            <v>#N/A</v>
          </cell>
          <cell r="F243" t="e">
            <v>#N/A</v>
          </cell>
        </row>
        <row r="244">
          <cell r="B244" t="str">
            <v>9048</v>
          </cell>
          <cell r="C244" t="str">
            <v>PRIOR PERIOD COVERAGE (PPC)</v>
          </cell>
          <cell r="D244" t="str">
            <v>1004070</v>
          </cell>
          <cell r="E244" t="e">
            <v>#N/A</v>
          </cell>
          <cell r="F244" t="e">
            <v>#N/A</v>
          </cell>
        </row>
        <row r="245">
          <cell r="B245" t="str">
            <v>9049</v>
          </cell>
          <cell r="C245" t="str">
            <v>PRIOR PERIOD COVERAGE (PPC)</v>
          </cell>
          <cell r="D245" t="str">
            <v>1004071</v>
          </cell>
          <cell r="E245" t="e">
            <v>#N/A</v>
          </cell>
          <cell r="F245" t="e">
            <v>#N/A</v>
          </cell>
        </row>
        <row r="246">
          <cell r="B246" t="str">
            <v>9050</v>
          </cell>
          <cell r="C246" t="str">
            <v>PRIOR PERIOD COVERAGE (PPC)</v>
          </cell>
          <cell r="D246" t="str">
            <v>1004071</v>
          </cell>
          <cell r="E246" t="e">
            <v>#N/A</v>
          </cell>
          <cell r="F246" t="e">
            <v>#N/A</v>
          </cell>
        </row>
        <row r="247">
          <cell r="B247" t="str">
            <v>9051</v>
          </cell>
          <cell r="C247" t="str">
            <v>PRIOR PERIOD COVERAGE (PPC)</v>
          </cell>
          <cell r="D247" t="str">
            <v>1004073</v>
          </cell>
          <cell r="E247" t="e">
            <v>#N/A</v>
          </cell>
          <cell r="F247" t="e">
            <v>#N/A</v>
          </cell>
        </row>
        <row r="248">
          <cell r="B248" t="str">
            <v>9052</v>
          </cell>
          <cell r="C248" t="str">
            <v>PRIOR PERIOD COVERAGE (PPC)</v>
          </cell>
          <cell r="D248" t="str">
            <v>1004072</v>
          </cell>
          <cell r="E248" t="e">
            <v>#N/A</v>
          </cell>
          <cell r="F248" t="e">
            <v>#N/A</v>
          </cell>
        </row>
        <row r="249">
          <cell r="B249" t="str">
            <v>9053</v>
          </cell>
          <cell r="C249" t="str">
            <v>PRIOR PERIOD COVERAGE (PPC)</v>
          </cell>
          <cell r="D249" t="str">
            <v>1004070</v>
          </cell>
          <cell r="E249" t="e">
            <v>#N/A</v>
          </cell>
          <cell r="F249" t="e">
            <v>#N/A</v>
          </cell>
        </row>
        <row r="250">
          <cell r="B250" t="str">
            <v>9054</v>
          </cell>
          <cell r="C250" t="str">
            <v>PRIOR PERIOD COVERAGE (PPC)</v>
          </cell>
          <cell r="D250" t="str">
            <v>1004071</v>
          </cell>
          <cell r="E250" t="e">
            <v>#N/A</v>
          </cell>
          <cell r="F250" t="e">
            <v>#N/A</v>
          </cell>
        </row>
        <row r="251">
          <cell r="B251" t="str">
            <v>9055</v>
          </cell>
          <cell r="C251" t="str">
            <v>PRIOR PERIOD COVERAGE (PPC)</v>
          </cell>
          <cell r="D251" t="str">
            <v>1004071</v>
          </cell>
          <cell r="E251" t="e">
            <v>#N/A</v>
          </cell>
          <cell r="F251" t="e">
            <v>#N/A</v>
          </cell>
        </row>
        <row r="252">
          <cell r="B252" t="str">
            <v>9056</v>
          </cell>
          <cell r="C252" t="str">
            <v>PRIOR PERIOD COVERAGE (PPC)</v>
          </cell>
          <cell r="D252" t="str">
            <v>1004073</v>
          </cell>
          <cell r="E252" t="e">
            <v>#N/A</v>
          </cell>
          <cell r="F252" t="e">
            <v>#N/A</v>
          </cell>
        </row>
        <row r="253">
          <cell r="B253" t="str">
            <v>9057</v>
          </cell>
          <cell r="C253" t="str">
            <v>PRIOR PERIOD COVERAGE (PPC)</v>
          </cell>
          <cell r="D253" t="str">
            <v>1004072</v>
          </cell>
          <cell r="E253" t="e">
            <v>#N/A</v>
          </cell>
          <cell r="F253" t="e">
            <v>#N/A</v>
          </cell>
        </row>
        <row r="254">
          <cell r="B254" t="str">
            <v>9058</v>
          </cell>
          <cell r="C254" t="str">
            <v>PRIOR PERIOD COVERAGE (PPC)</v>
          </cell>
          <cell r="D254" t="str">
            <v>1004070</v>
          </cell>
          <cell r="E254" t="e">
            <v>#N/A</v>
          </cell>
          <cell r="F254" t="e">
            <v>#N/A</v>
          </cell>
        </row>
        <row r="255">
          <cell r="B255" t="str">
            <v>9059</v>
          </cell>
          <cell r="C255" t="str">
            <v>PRIOR PERIOD COVERAGE (PPC)</v>
          </cell>
          <cell r="D255" t="str">
            <v>1004071</v>
          </cell>
          <cell r="E255" t="e">
            <v>#N/A</v>
          </cell>
          <cell r="F255" t="e">
            <v>#N/A</v>
          </cell>
        </row>
        <row r="256">
          <cell r="B256" t="str">
            <v>9060</v>
          </cell>
          <cell r="C256" t="str">
            <v>PRIOR PERIOD COVERAGE (PPC)</v>
          </cell>
          <cell r="D256" t="str">
            <v>1004071</v>
          </cell>
          <cell r="E256" t="e">
            <v>#N/A</v>
          </cell>
          <cell r="F256" t="e">
            <v>#N/A</v>
          </cell>
        </row>
        <row r="257">
          <cell r="B257" t="str">
            <v>9061</v>
          </cell>
          <cell r="C257" t="str">
            <v>PRIOR PERIOD COVERAGE (PPC)</v>
          </cell>
          <cell r="D257" t="str">
            <v>1004073</v>
          </cell>
          <cell r="E257" t="e">
            <v>#N/A</v>
          </cell>
          <cell r="F257" t="e">
            <v>#N/A</v>
          </cell>
        </row>
        <row r="258">
          <cell r="B258" t="str">
            <v>9062</v>
          </cell>
          <cell r="C258" t="str">
            <v>PRIOR PERIOD COVERAGE (PPC)</v>
          </cell>
          <cell r="D258" t="str">
            <v>1004072</v>
          </cell>
          <cell r="E258" t="e">
            <v>#N/A</v>
          </cell>
          <cell r="F258" t="e">
            <v>#N/A</v>
          </cell>
        </row>
        <row r="259">
          <cell r="B259" t="str">
            <v>9063</v>
          </cell>
          <cell r="C259" t="str">
            <v>PRIOR PERIOD COVERAGE (PPC)</v>
          </cell>
          <cell r="D259" t="str">
            <v>1004070</v>
          </cell>
          <cell r="E259" t="e">
            <v>#N/A</v>
          </cell>
          <cell r="F259" t="e">
            <v>#N/A</v>
          </cell>
        </row>
        <row r="260">
          <cell r="B260" t="str">
            <v>9064</v>
          </cell>
          <cell r="C260" t="str">
            <v>PRIOR PERIOD COVERAGE (PPC)</v>
          </cell>
          <cell r="D260" t="str">
            <v>1004071</v>
          </cell>
          <cell r="E260" t="e">
            <v>#N/A</v>
          </cell>
          <cell r="F260" t="e">
            <v>#N/A</v>
          </cell>
        </row>
        <row r="261">
          <cell r="B261" t="str">
            <v>9065</v>
          </cell>
          <cell r="C261" t="str">
            <v>PRIOR PERIOD COVERAGE (PPC)</v>
          </cell>
          <cell r="D261" t="str">
            <v>1004071</v>
          </cell>
          <cell r="E261" t="e">
            <v>#N/A</v>
          </cell>
          <cell r="F261" t="e">
            <v>#N/A</v>
          </cell>
        </row>
        <row r="262">
          <cell r="B262" t="str">
            <v>9066</v>
          </cell>
          <cell r="C262" t="str">
            <v>PRIOR PERIOD COVERAGE (PPC)</v>
          </cell>
          <cell r="D262" t="str">
            <v>1004073</v>
          </cell>
          <cell r="E262" t="e">
            <v>#N/A</v>
          </cell>
          <cell r="F262" t="e">
            <v>#N/A</v>
          </cell>
        </row>
        <row r="263">
          <cell r="B263" t="str">
            <v>9067</v>
          </cell>
          <cell r="C263" t="str">
            <v>PRIOR PERIOD COVERAGE (PPC)</v>
          </cell>
          <cell r="D263" t="str">
            <v>1004072</v>
          </cell>
          <cell r="E263" t="e">
            <v>#N/A</v>
          </cell>
          <cell r="F263" t="e">
            <v>#N/A</v>
          </cell>
        </row>
        <row r="264">
          <cell r="B264" t="str">
            <v>9068</v>
          </cell>
          <cell r="C264" t="str">
            <v>PRIOR PERIOD COVERAGE (PPC)</v>
          </cell>
          <cell r="D264" t="str">
            <v>1004070</v>
          </cell>
          <cell r="E264" t="e">
            <v>#N/A</v>
          </cell>
          <cell r="F264" t="e">
            <v>#N/A</v>
          </cell>
        </row>
        <row r="265">
          <cell r="B265" t="str">
            <v>9069</v>
          </cell>
          <cell r="C265" t="str">
            <v>PRIOR PERIOD COVERAGE (PPC)</v>
          </cell>
          <cell r="D265" t="str">
            <v>1004071</v>
          </cell>
          <cell r="E265" t="e">
            <v>#N/A</v>
          </cell>
          <cell r="F265" t="e">
            <v>#N/A</v>
          </cell>
        </row>
        <row r="266">
          <cell r="B266" t="str">
            <v>9070</v>
          </cell>
          <cell r="C266" t="str">
            <v>PRIOR PERIOD COVERAGE (PPC)</v>
          </cell>
          <cell r="D266" t="str">
            <v>1004071</v>
          </cell>
          <cell r="E266" t="e">
            <v>#N/A</v>
          </cell>
          <cell r="F266" t="e">
            <v>#N/A</v>
          </cell>
        </row>
        <row r="267">
          <cell r="B267" t="str">
            <v>9071</v>
          </cell>
          <cell r="C267" t="str">
            <v>PRIOR PERIOD COVERAGE (PPC)</v>
          </cell>
          <cell r="D267" t="str">
            <v>1004073</v>
          </cell>
          <cell r="E267" t="e">
            <v>#N/A</v>
          </cell>
          <cell r="F267" t="e">
            <v>#N/A</v>
          </cell>
        </row>
        <row r="268">
          <cell r="B268" t="str">
            <v>9072</v>
          </cell>
          <cell r="C268" t="str">
            <v>PRIOR PERIOD COVERAGE (PPC)</v>
          </cell>
          <cell r="D268" t="str">
            <v>1004072</v>
          </cell>
          <cell r="E268" t="e">
            <v>#N/A</v>
          </cell>
          <cell r="F268" t="e">
            <v>#N/A</v>
          </cell>
        </row>
        <row r="269">
          <cell r="B269" t="str">
            <v>9073</v>
          </cell>
          <cell r="C269" t="str">
            <v>PRIOR PERIOD COVERAGE (PPC)</v>
          </cell>
          <cell r="D269" t="str">
            <v>1004071</v>
          </cell>
          <cell r="E269" t="e">
            <v>#N/A</v>
          </cell>
          <cell r="F269" t="e">
            <v>#N/A</v>
          </cell>
        </row>
        <row r="270">
          <cell r="B270" t="str">
            <v>9074</v>
          </cell>
          <cell r="C270" t="str">
            <v>PRIOR PERIOD COVERAGE (PPC)</v>
          </cell>
          <cell r="D270" t="str">
            <v>1004078</v>
          </cell>
          <cell r="E270" t="e">
            <v>#N/A</v>
          </cell>
          <cell r="F270" t="e">
            <v>#N/A</v>
          </cell>
        </row>
        <row r="271">
          <cell r="B271" t="str">
            <v>9075</v>
          </cell>
          <cell r="C271" t="str">
            <v>PRIOR PERIOD COVERAGE (PPC)</v>
          </cell>
          <cell r="D271" t="str">
            <v>1004078</v>
          </cell>
          <cell r="E271" t="e">
            <v>#N/A</v>
          </cell>
          <cell r="F271" t="e">
            <v>#N/A</v>
          </cell>
        </row>
        <row r="272">
          <cell r="B272" t="str">
            <v>9076</v>
          </cell>
          <cell r="C272" t="str">
            <v>PRIOR PERIOD COVERAGE (PPC)</v>
          </cell>
          <cell r="D272" t="str">
            <v>1004078</v>
          </cell>
          <cell r="E272" t="e">
            <v>#N/A</v>
          </cell>
          <cell r="F272" t="e">
            <v>#N/A</v>
          </cell>
        </row>
        <row r="273">
          <cell r="B273" t="str">
            <v>9077</v>
          </cell>
          <cell r="C273" t="str">
            <v>PRIOR PERIOD COVERAGE (PPC)</v>
          </cell>
          <cell r="D273" t="str">
            <v>1004071</v>
          </cell>
          <cell r="E273" t="e">
            <v>#N/A</v>
          </cell>
          <cell r="F273" t="e">
            <v>#N/A</v>
          </cell>
        </row>
        <row r="274">
          <cell r="B274" t="str">
            <v>9078</v>
          </cell>
          <cell r="C274" t="str">
            <v>PRIOR PERIOD COVERAGE (PPC)</v>
          </cell>
          <cell r="D274" t="str">
            <v>1004078</v>
          </cell>
          <cell r="E274" t="e">
            <v>#N/A</v>
          </cell>
          <cell r="F274" t="e">
            <v>#N/A</v>
          </cell>
        </row>
        <row r="275">
          <cell r="B275" t="str">
            <v>9079</v>
          </cell>
          <cell r="C275" t="str">
            <v>PRIOR PERIOD COVERAGE (PPC)</v>
          </cell>
          <cell r="D275" t="str">
            <v>1004078</v>
          </cell>
          <cell r="E275" t="e">
            <v>#N/A</v>
          </cell>
          <cell r="F275" t="e">
            <v>#N/A</v>
          </cell>
        </row>
        <row r="276">
          <cell r="B276" t="str">
            <v>9080</v>
          </cell>
          <cell r="C276" t="str">
            <v>PRIOR PERIOD COVERAGE (PPC)</v>
          </cell>
          <cell r="D276" t="str">
            <v>1004078</v>
          </cell>
          <cell r="E276" t="e">
            <v>#N/A</v>
          </cell>
          <cell r="F276" t="e">
            <v>#N/A</v>
          </cell>
        </row>
        <row r="277">
          <cell r="B277" t="str">
            <v>9081</v>
          </cell>
          <cell r="C277" t="str">
            <v>PRIOR PERIOD COVERAGE (PPC)</v>
          </cell>
          <cell r="D277" t="str">
            <v>1004071</v>
          </cell>
          <cell r="E277" t="e">
            <v>#N/A</v>
          </cell>
          <cell r="F277" t="e">
            <v>#N/A</v>
          </cell>
        </row>
        <row r="278">
          <cell r="B278" t="str">
            <v>9082</v>
          </cell>
          <cell r="C278" t="str">
            <v>PRIOR PERIOD COVERAGE (PPC)</v>
          </cell>
          <cell r="D278" t="str">
            <v>1004078</v>
          </cell>
          <cell r="E278" t="e">
            <v>#N/A</v>
          </cell>
          <cell r="F278" t="e">
            <v>#N/A</v>
          </cell>
        </row>
        <row r="279">
          <cell r="B279" t="str">
            <v>9083</v>
          </cell>
          <cell r="C279" t="str">
            <v>PRIOR PERIOD COVERAGE (PPC)</v>
          </cell>
          <cell r="D279" t="str">
            <v>1004078</v>
          </cell>
          <cell r="E279" t="e">
            <v>#N/A</v>
          </cell>
          <cell r="F279" t="e">
            <v>#N/A</v>
          </cell>
        </row>
        <row r="280">
          <cell r="B280" t="str">
            <v>9084</v>
          </cell>
          <cell r="C280" t="str">
            <v>PRIOR PERIOD COVERAGE (PPC)</v>
          </cell>
          <cell r="D280" t="str">
            <v>1004078</v>
          </cell>
          <cell r="E280" t="e">
            <v>#N/A</v>
          </cell>
          <cell r="F280" t="e">
            <v>#N/A</v>
          </cell>
        </row>
        <row r="281">
          <cell r="B281" t="str">
            <v>9085</v>
          </cell>
          <cell r="C281" t="str">
            <v>PRIOR PERIOD COVERAGE (PPC)</v>
          </cell>
          <cell r="D281" t="str">
            <v>1004070</v>
          </cell>
          <cell r="E281" t="e">
            <v>#N/A</v>
          </cell>
          <cell r="F281" t="e">
            <v>#N/A</v>
          </cell>
        </row>
        <row r="282">
          <cell r="B282" t="str">
            <v>9086</v>
          </cell>
          <cell r="C282" t="str">
            <v>PRIOR PERIOD COVERAGE (PPC)</v>
          </cell>
          <cell r="D282" t="str">
            <v>1004070</v>
          </cell>
          <cell r="E282" t="e">
            <v>#N/A</v>
          </cell>
          <cell r="F282" t="e">
            <v>#N/A</v>
          </cell>
        </row>
        <row r="283">
          <cell r="B283" t="str">
            <v>9087</v>
          </cell>
          <cell r="C283" t="str">
            <v>PRIOR PERIOD COVERAGE (PPC)</v>
          </cell>
          <cell r="D283" t="str">
            <v>1004070</v>
          </cell>
          <cell r="E283" t="e">
            <v>#N/A</v>
          </cell>
          <cell r="F283" t="e">
            <v>#N/A</v>
          </cell>
        </row>
        <row r="284">
          <cell r="B284" t="str">
            <v>9088</v>
          </cell>
          <cell r="C284" t="str">
            <v>PRIOR PERIOD COVERAGE (PPC)</v>
          </cell>
          <cell r="D284" t="str">
            <v>1004071</v>
          </cell>
          <cell r="E284" t="e">
            <v>#N/A</v>
          </cell>
          <cell r="F284" t="e">
            <v>#N/A</v>
          </cell>
        </row>
        <row r="285">
          <cell r="B285" t="str">
            <v>9089</v>
          </cell>
          <cell r="C285" t="str">
            <v>PRIOR PERIOD COVERAGE (PPC)</v>
          </cell>
          <cell r="D285" t="str">
            <v>1004071</v>
          </cell>
          <cell r="E285" t="e">
            <v>#N/A</v>
          </cell>
          <cell r="F285" t="e">
            <v>#N/A</v>
          </cell>
        </row>
        <row r="286">
          <cell r="B286" t="str">
            <v>9090</v>
          </cell>
          <cell r="C286" t="str">
            <v>PRIOR PERIOD COVERAGE (PPC)</v>
          </cell>
          <cell r="D286" t="str">
            <v>1004071</v>
          </cell>
          <cell r="E286" t="e">
            <v>#N/A</v>
          </cell>
          <cell r="F286" t="e">
            <v>#N/A</v>
          </cell>
        </row>
        <row r="287">
          <cell r="B287" t="str">
            <v>9091</v>
          </cell>
          <cell r="C287" t="str">
            <v>PRIOR PERIOD COVERAGE (PPC)</v>
          </cell>
          <cell r="D287" t="str">
            <v>1004071</v>
          </cell>
          <cell r="E287" t="e">
            <v>#N/A</v>
          </cell>
          <cell r="F287" t="e">
            <v>#N/A</v>
          </cell>
        </row>
        <row r="288">
          <cell r="B288" t="str">
            <v>9092</v>
          </cell>
          <cell r="C288" t="str">
            <v>PRIOR PERIOD COVERAGE (PPC)</v>
          </cell>
          <cell r="D288" t="str">
            <v>1004071</v>
          </cell>
          <cell r="E288" t="e">
            <v>#N/A</v>
          </cell>
          <cell r="F288" t="e">
            <v>#N/A</v>
          </cell>
        </row>
        <row r="289">
          <cell r="B289" t="str">
            <v>9093</v>
          </cell>
          <cell r="C289" t="str">
            <v>PRIOR PERIOD COVERAGE (PPC)</v>
          </cell>
          <cell r="D289" t="str">
            <v>1004071</v>
          </cell>
          <cell r="E289" t="e">
            <v>#N/A</v>
          </cell>
          <cell r="F289" t="e">
            <v>#N/A</v>
          </cell>
        </row>
        <row r="290">
          <cell r="B290" t="str">
            <v>9094</v>
          </cell>
          <cell r="C290" t="str">
            <v>PRIOR PERIOD COVERAGE (PPC)</v>
          </cell>
          <cell r="D290" t="str">
            <v>1004072</v>
          </cell>
          <cell r="E290" t="e">
            <v>#N/A</v>
          </cell>
          <cell r="F290" t="e">
            <v>#N/A</v>
          </cell>
        </row>
        <row r="291">
          <cell r="B291" t="str">
            <v>9095</v>
          </cell>
          <cell r="C291" t="str">
            <v>PRIOR PERIOD COVERAGE (PPC)</v>
          </cell>
          <cell r="D291" t="str">
            <v>1004072</v>
          </cell>
          <cell r="E291" t="e">
            <v>#N/A</v>
          </cell>
          <cell r="F291" t="e">
            <v>#N/A</v>
          </cell>
        </row>
        <row r="292">
          <cell r="B292" t="str">
            <v>9096</v>
          </cell>
          <cell r="C292" t="str">
            <v>PRIOR PERIOD COVERAGE (PPC)</v>
          </cell>
          <cell r="D292" t="str">
            <v>1004072</v>
          </cell>
          <cell r="E292" t="e">
            <v>#N/A</v>
          </cell>
          <cell r="F292" t="e">
            <v>#N/A</v>
          </cell>
        </row>
        <row r="293">
          <cell r="B293" t="str">
            <v>9097</v>
          </cell>
          <cell r="C293" t="str">
            <v>PRIOR PERIOD COVERAGE (PPC)</v>
          </cell>
          <cell r="D293" t="str">
            <v>1004072</v>
          </cell>
          <cell r="E293" t="e">
            <v>#N/A</v>
          </cell>
          <cell r="F293" t="e">
            <v>#N/A</v>
          </cell>
        </row>
        <row r="294">
          <cell r="B294" t="str">
            <v>9098</v>
          </cell>
          <cell r="C294" t="str">
            <v>PRIOR PERIOD COVERAGE (PPC)</v>
          </cell>
          <cell r="D294" t="str">
            <v>1004072</v>
          </cell>
          <cell r="E294" t="e">
            <v>#N/A</v>
          </cell>
          <cell r="F294" t="e">
            <v>#N/A</v>
          </cell>
        </row>
        <row r="295">
          <cell r="B295" t="str">
            <v>9099</v>
          </cell>
          <cell r="C295" t="str">
            <v>PRIOR PERIOD COVERAGE (PPC)</v>
          </cell>
          <cell r="D295" t="str">
            <v>1004073</v>
          </cell>
          <cell r="E295" t="e">
            <v>#N/A</v>
          </cell>
          <cell r="F295" t="e">
            <v>#N/A</v>
          </cell>
        </row>
        <row r="296">
          <cell r="B296" t="str">
            <v>9100</v>
          </cell>
          <cell r="C296" t="str">
            <v>PRIOR PERIOD COVERAGE (PPC)</v>
          </cell>
          <cell r="D296" t="str">
            <v>1004074</v>
          </cell>
          <cell r="E296" t="e">
            <v>#N/A</v>
          </cell>
          <cell r="F296" t="e">
            <v>#N/A</v>
          </cell>
        </row>
        <row r="297">
          <cell r="B297" t="str">
            <v>9101</v>
          </cell>
          <cell r="C297" t="str">
            <v>PRIOR PERIOD COVERAGE (PPC)</v>
          </cell>
          <cell r="D297" t="str">
            <v>1004074</v>
          </cell>
          <cell r="E297" t="e">
            <v>#N/A</v>
          </cell>
          <cell r="F297" t="e">
            <v>#N/A</v>
          </cell>
        </row>
        <row r="298">
          <cell r="B298" t="str">
            <v>9155</v>
          </cell>
          <cell r="C298" t="str">
            <v>PRIOR PERIOD COVERAGE (PPC)</v>
          </cell>
          <cell r="D298" t="str">
            <v>1004074</v>
          </cell>
          <cell r="E298" t="e">
            <v>#N/A</v>
          </cell>
          <cell r="F298" t="e">
            <v>#N/A</v>
          </cell>
        </row>
        <row r="299">
          <cell r="B299" t="str">
            <v>9200</v>
          </cell>
          <cell r="C299" t="str">
            <v>PRIOR PERIOD COVERAGE (PPC)</v>
          </cell>
          <cell r="D299" t="str">
            <v>1004073</v>
          </cell>
          <cell r="E299" t="e">
            <v>#N/A</v>
          </cell>
          <cell r="F299" t="e">
            <v>#N/A</v>
          </cell>
        </row>
        <row r="300">
          <cell r="B300" t="str">
            <v>9201</v>
          </cell>
          <cell r="C300" t="str">
            <v>PRIOR PERIOD COVERAGE (PPC)</v>
          </cell>
          <cell r="D300" t="str">
            <v>1004077</v>
          </cell>
          <cell r="E300" t="e">
            <v>#N/A</v>
          </cell>
          <cell r="F300" t="e">
            <v>#N/A</v>
          </cell>
        </row>
        <row r="301">
          <cell r="B301" t="str">
            <v>9202</v>
          </cell>
          <cell r="C301" t="str">
            <v>PRIOR PERIOD COVERAGE (PPC)</v>
          </cell>
          <cell r="D301" t="str">
            <v>1004077</v>
          </cell>
          <cell r="E301" t="e">
            <v>#N/A</v>
          </cell>
          <cell r="F301" t="e">
            <v>#N/A</v>
          </cell>
        </row>
        <row r="302">
          <cell r="B302" t="str">
            <v>9203</v>
          </cell>
          <cell r="C302" t="str">
            <v>PRIOR PERIOD COVERAGE (PPC)</v>
          </cell>
          <cell r="D302" t="str">
            <v>1004077</v>
          </cell>
          <cell r="E302" t="e">
            <v>#N/A</v>
          </cell>
          <cell r="F302" t="e">
            <v>#N/A</v>
          </cell>
        </row>
        <row r="303">
          <cell r="B303" t="str">
            <v>9204</v>
          </cell>
          <cell r="C303" t="str">
            <v>PRIOR PERIOD COVERAGE (PPC)</v>
          </cell>
          <cell r="D303" t="str">
            <v>1004077</v>
          </cell>
          <cell r="E303" t="e">
            <v>#N/A</v>
          </cell>
          <cell r="F303" t="e">
            <v>#N/A</v>
          </cell>
        </row>
        <row r="304">
          <cell r="B304" t="str">
            <v>9205</v>
          </cell>
          <cell r="C304" t="str">
            <v>PRIOR PERIOD COVERAGE (PPC)</v>
          </cell>
          <cell r="D304" t="str">
            <v>1004077</v>
          </cell>
          <cell r="E304" t="e">
            <v>#N/A</v>
          </cell>
          <cell r="F304" t="e">
            <v>#N/A</v>
          </cell>
        </row>
        <row r="305">
          <cell r="B305" t="str">
            <v>9206</v>
          </cell>
          <cell r="C305" t="str">
            <v>PRIOR PERIOD COVERAGE (PPC)</v>
          </cell>
          <cell r="D305" t="str">
            <v>1004087</v>
          </cell>
          <cell r="E305" t="e">
            <v>#N/A</v>
          </cell>
          <cell r="F305" t="e">
            <v>#N/A</v>
          </cell>
        </row>
        <row r="306">
          <cell r="B306" t="str">
            <v>9207</v>
          </cell>
          <cell r="C306" t="str">
            <v>PRIOR PERIOD COVERAGE (PPC)</v>
          </cell>
          <cell r="D306" t="str">
            <v>1004077</v>
          </cell>
          <cell r="E306" t="e">
            <v>#N/A</v>
          </cell>
          <cell r="F306" t="e">
            <v>#N/A</v>
          </cell>
        </row>
        <row r="307">
          <cell r="B307" t="str">
            <v>9208</v>
          </cell>
          <cell r="C307" t="str">
            <v>PRIOR PERIOD COVERAGE (PPC)</v>
          </cell>
          <cell r="D307" t="str">
            <v>1004077</v>
          </cell>
          <cell r="E307" t="e">
            <v>#N/A</v>
          </cell>
          <cell r="F307" t="e">
            <v>#N/A</v>
          </cell>
        </row>
        <row r="308">
          <cell r="B308" t="str">
            <v>9209</v>
          </cell>
          <cell r="C308" t="str">
            <v>PRIOR PERIOD COVERAGE (PPC)</v>
          </cell>
          <cell r="D308" t="str">
            <v>1004077</v>
          </cell>
          <cell r="E308" t="e">
            <v>#N/A</v>
          </cell>
          <cell r="F308" t="e">
            <v>#N/A</v>
          </cell>
        </row>
        <row r="309">
          <cell r="B309" t="str">
            <v>9210</v>
          </cell>
          <cell r="C309" t="str">
            <v>PRIOR PERIOD COVERAGE (PPC)</v>
          </cell>
          <cell r="D309" t="str">
            <v>1004077</v>
          </cell>
          <cell r="E309" t="e">
            <v>#N/A</v>
          </cell>
          <cell r="F309" t="e">
            <v>#N/A</v>
          </cell>
        </row>
        <row r="310">
          <cell r="B310" t="str">
            <v>9211</v>
          </cell>
          <cell r="C310" t="str">
            <v>PRIOR PERIOD COVERAGE (PPC)</v>
          </cell>
          <cell r="D310" t="str">
            <v>1004077</v>
          </cell>
          <cell r="E310" t="e">
            <v>#N/A</v>
          </cell>
          <cell r="F310" t="e">
            <v>#N/A</v>
          </cell>
        </row>
        <row r="311">
          <cell r="B311" t="str">
            <v>9212</v>
          </cell>
          <cell r="C311" t="str">
            <v>PRIOR PERIOD COVERAGE (PPC)</v>
          </cell>
          <cell r="D311" t="str">
            <v>1004077</v>
          </cell>
          <cell r="E311" t="e">
            <v>#N/A</v>
          </cell>
          <cell r="F311" t="e">
            <v>#N/A</v>
          </cell>
        </row>
        <row r="312">
          <cell r="B312" t="str">
            <v>9213</v>
          </cell>
          <cell r="C312" t="str">
            <v>PRIOR PERIOD COVERAGE (PPC)</v>
          </cell>
          <cell r="D312" t="str">
            <v>1004077</v>
          </cell>
          <cell r="E312" t="e">
            <v>#N/A</v>
          </cell>
          <cell r="F312" t="e">
            <v>#N/A</v>
          </cell>
        </row>
        <row r="313">
          <cell r="B313" t="str">
            <v>9214</v>
          </cell>
          <cell r="C313" t="str">
            <v>PRIOR PERIOD COVERAGE (PPC)</v>
          </cell>
          <cell r="D313" t="str">
            <v>1004077</v>
          </cell>
          <cell r="E313" t="e">
            <v>#N/A</v>
          </cell>
          <cell r="F313" t="e">
            <v>#N/A</v>
          </cell>
        </row>
        <row r="314">
          <cell r="B314" t="str">
            <v>9215</v>
          </cell>
          <cell r="C314" t="str">
            <v>PRIOR PERIOD COVERAGE (PPC)</v>
          </cell>
          <cell r="D314" t="str">
            <v>1004077</v>
          </cell>
          <cell r="E314" t="e">
            <v>#N/A</v>
          </cell>
          <cell r="F314" t="e">
            <v>#N/A</v>
          </cell>
        </row>
        <row r="315">
          <cell r="B315" t="str">
            <v>9216</v>
          </cell>
          <cell r="C315" t="str">
            <v>PRIOR PERIOD COVERAGE (PPC)</v>
          </cell>
          <cell r="D315" t="str">
            <v>1004077</v>
          </cell>
          <cell r="E315" t="e">
            <v>#N/A</v>
          </cell>
          <cell r="F315" t="e">
            <v>#N/A</v>
          </cell>
        </row>
        <row r="316">
          <cell r="B316" t="str">
            <v>9217</v>
          </cell>
          <cell r="C316" t="str">
            <v>PRIOR PERIOD COVERAGE (PPC)</v>
          </cell>
          <cell r="D316" t="str">
            <v>1004077</v>
          </cell>
          <cell r="E316" t="e">
            <v>#N/A</v>
          </cell>
          <cell r="F316" t="e">
            <v>#N/A</v>
          </cell>
        </row>
        <row r="317">
          <cell r="B317" t="str">
            <v>9218</v>
          </cell>
          <cell r="C317" t="str">
            <v>PRIOR PERIOD COVERAGE (PPC)</v>
          </cell>
          <cell r="D317" t="str">
            <v>1004077</v>
          </cell>
          <cell r="E317" t="e">
            <v>#N/A</v>
          </cell>
          <cell r="F317" t="e">
            <v>#N/A</v>
          </cell>
        </row>
        <row r="318">
          <cell r="B318" t="str">
            <v>9219</v>
          </cell>
          <cell r="C318" t="str">
            <v>PRIOR PERIOD COVERAGE (PPC)</v>
          </cell>
          <cell r="D318" t="str">
            <v>1004077</v>
          </cell>
          <cell r="E318" t="e">
            <v>#N/A</v>
          </cell>
          <cell r="F318" t="e">
            <v>#N/A</v>
          </cell>
        </row>
        <row r="319">
          <cell r="B319" t="str">
            <v>9220</v>
          </cell>
          <cell r="C319" t="str">
            <v>PRIOR PERIOD COVERAGE (PPC)</v>
          </cell>
          <cell r="D319" t="str">
            <v>1004077</v>
          </cell>
          <cell r="E319" t="e">
            <v>#N/A</v>
          </cell>
          <cell r="F319" t="e">
            <v>#N/A</v>
          </cell>
        </row>
        <row r="320">
          <cell r="B320" t="str">
            <v>9221</v>
          </cell>
          <cell r="C320" t="str">
            <v>PRIOR PERIOD COVERAGE (PPC)</v>
          </cell>
          <cell r="D320" t="str">
            <v>1004077</v>
          </cell>
          <cell r="E320" t="e">
            <v>#N/A</v>
          </cell>
          <cell r="F320" t="e">
            <v>#N/A</v>
          </cell>
        </row>
        <row r="321">
          <cell r="B321" t="str">
            <v>9222</v>
          </cell>
          <cell r="C321" t="str">
            <v>PRIOR PERIOD COVERAGE (PPC)</v>
          </cell>
          <cell r="D321" t="str">
            <v>1004077</v>
          </cell>
          <cell r="E321" t="e">
            <v>#N/A</v>
          </cell>
          <cell r="F321" t="e">
            <v>#N/A</v>
          </cell>
        </row>
        <row r="322">
          <cell r="B322" t="str">
            <v>9223</v>
          </cell>
          <cell r="C322" t="str">
            <v>PRIOR PERIOD COVERAGE (PPC)</v>
          </cell>
          <cell r="D322" t="str">
            <v>1004077</v>
          </cell>
          <cell r="E322" t="e">
            <v>#N/A</v>
          </cell>
          <cell r="F322" t="e">
            <v>#N/A</v>
          </cell>
        </row>
        <row r="323">
          <cell r="B323" t="str">
            <v>9224</v>
          </cell>
          <cell r="C323" t="str">
            <v>PRIOR PERIOD COVERAGE (PPC)</v>
          </cell>
          <cell r="D323" t="str">
            <v>1004077</v>
          </cell>
          <cell r="E323" t="e">
            <v>#N/A</v>
          </cell>
          <cell r="F323" t="e">
            <v>#N/A</v>
          </cell>
        </row>
        <row r="324">
          <cell r="B324" t="str">
            <v>9225</v>
          </cell>
          <cell r="C324" t="str">
            <v>PRIOR PERIOD COVERAGE (PPC)</v>
          </cell>
          <cell r="D324" t="str">
            <v>1004077</v>
          </cell>
          <cell r="E324" t="e">
            <v>#N/A</v>
          </cell>
          <cell r="F324" t="e">
            <v>#N/A</v>
          </cell>
        </row>
        <row r="325">
          <cell r="B325" t="str">
            <v>9226</v>
          </cell>
          <cell r="C325" t="str">
            <v>PRIOR PERIOD COVERAGE (PPC)</v>
          </cell>
          <cell r="D325" t="str">
            <v>1004077</v>
          </cell>
          <cell r="E325" t="e">
            <v>#N/A</v>
          </cell>
          <cell r="F325" t="e">
            <v>#N/A</v>
          </cell>
        </row>
        <row r="326">
          <cell r="B326" t="str">
            <v>9227</v>
          </cell>
          <cell r="C326" t="str">
            <v>PRIOR PERIOD COVERAGE (PPC)</v>
          </cell>
          <cell r="D326" t="str">
            <v>1004077</v>
          </cell>
          <cell r="E326" t="e">
            <v>#N/A</v>
          </cell>
          <cell r="F326" t="e">
            <v>#N/A</v>
          </cell>
        </row>
        <row r="327">
          <cell r="B327" t="str">
            <v>9228</v>
          </cell>
          <cell r="C327" t="str">
            <v>PRIOR PERIOD COVERAGE (PPC)</v>
          </cell>
          <cell r="D327" t="str">
            <v>1004079</v>
          </cell>
          <cell r="E327" t="e">
            <v>#N/A</v>
          </cell>
          <cell r="F327" t="e">
            <v>#N/A</v>
          </cell>
        </row>
        <row r="328">
          <cell r="B328" t="str">
            <v>9229</v>
          </cell>
          <cell r="C328" t="str">
            <v>PRIOR PERIOD COVERAGE (PPC)</v>
          </cell>
          <cell r="D328" t="str">
            <v>1004079</v>
          </cell>
          <cell r="E328" t="e">
            <v>#N/A</v>
          </cell>
          <cell r="F328" t="e">
            <v>#N/A</v>
          </cell>
        </row>
        <row r="329">
          <cell r="B329" t="str">
            <v>9230</v>
          </cell>
          <cell r="C329" t="str">
            <v>PRIOR PERIOD COVERAGE (PPC)</v>
          </cell>
          <cell r="D329" t="str">
            <v>1004079</v>
          </cell>
          <cell r="E329" t="e">
            <v>#N/A</v>
          </cell>
          <cell r="F329" t="e">
            <v>#N/A</v>
          </cell>
        </row>
        <row r="330">
          <cell r="B330" t="str">
            <v>9231</v>
          </cell>
          <cell r="C330" t="str">
            <v>PRIOR PERIOD COVERAGE (PPC)</v>
          </cell>
          <cell r="D330" t="str">
            <v>1004076</v>
          </cell>
          <cell r="E330" t="e">
            <v>#N/A</v>
          </cell>
          <cell r="F330" t="e">
            <v>#N/A</v>
          </cell>
        </row>
        <row r="331">
          <cell r="B331" t="str">
            <v>9232</v>
          </cell>
          <cell r="C331" t="str">
            <v>PRIOR PERIOD COVERAGE (PPC)</v>
          </cell>
          <cell r="D331" t="str">
            <v>1004076</v>
          </cell>
          <cell r="E331" t="e">
            <v>#N/A</v>
          </cell>
          <cell r="F331" t="e">
            <v>#N/A</v>
          </cell>
        </row>
        <row r="332">
          <cell r="B332" t="str">
            <v>9233</v>
          </cell>
          <cell r="C332" t="str">
            <v>PRIOR PERIOD COVERAGE (PPC)</v>
          </cell>
          <cell r="D332" t="str">
            <v>1004076</v>
          </cell>
          <cell r="E332" t="e">
            <v>#N/A</v>
          </cell>
          <cell r="F332" t="e">
            <v>#N/A</v>
          </cell>
        </row>
        <row r="333">
          <cell r="B333" t="str">
            <v>9234</v>
          </cell>
          <cell r="C333" t="str">
            <v>PRIOR PERIOD COVERAGE (PPC)</v>
          </cell>
          <cell r="D333" t="str">
            <v>1004075</v>
          </cell>
          <cell r="E333" t="e">
            <v>#N/A</v>
          </cell>
          <cell r="F333" t="e">
            <v>#N/A</v>
          </cell>
        </row>
        <row r="334">
          <cell r="B334" t="str">
            <v>9235</v>
          </cell>
          <cell r="C334" t="str">
            <v>PRIOR PERIOD COVERAGE (PPC)</v>
          </cell>
          <cell r="D334" t="str">
            <v>1004075</v>
          </cell>
          <cell r="E334" t="e">
            <v>#N/A</v>
          </cell>
          <cell r="F334" t="e">
            <v>#N/A</v>
          </cell>
        </row>
        <row r="335">
          <cell r="B335" t="str">
            <v>9236</v>
          </cell>
          <cell r="C335" t="str">
            <v>PRIOR PERIOD COVERAGE (PPC)</v>
          </cell>
          <cell r="D335" t="str">
            <v>1004075</v>
          </cell>
          <cell r="E335" t="e">
            <v>#N/A</v>
          </cell>
          <cell r="F335" t="e">
            <v>#N/A</v>
          </cell>
        </row>
        <row r="336">
          <cell r="B336" t="str">
            <v>9237</v>
          </cell>
          <cell r="C336" t="str">
            <v>PRIOR PERIOD COVERAGE (PPC)</v>
          </cell>
          <cell r="D336" t="str">
            <v>1004075</v>
          </cell>
          <cell r="E336" t="e">
            <v>#N/A</v>
          </cell>
          <cell r="F336" t="e">
            <v>#N/A</v>
          </cell>
        </row>
        <row r="337">
          <cell r="B337" t="str">
            <v>9238</v>
          </cell>
          <cell r="C337" t="str">
            <v>PRIOR PERIOD COVERAGE (PPC)</v>
          </cell>
          <cell r="D337" t="str">
            <v>1004075</v>
          </cell>
          <cell r="E337" t="e">
            <v>#N/A</v>
          </cell>
          <cell r="F337" t="e">
            <v>#N/A</v>
          </cell>
        </row>
        <row r="338">
          <cell r="B338" t="str">
            <v>9239</v>
          </cell>
          <cell r="C338" t="str">
            <v>PRIOR PERIOD COVERAGE (PPC)</v>
          </cell>
          <cell r="D338" t="str">
            <v>1004075</v>
          </cell>
          <cell r="E338" t="e">
            <v>#N/A</v>
          </cell>
          <cell r="F338" t="e">
            <v>#N/A</v>
          </cell>
        </row>
        <row r="339">
          <cell r="B339" t="str">
            <v>9240</v>
          </cell>
          <cell r="C339" t="str">
            <v>PRIOR PERIOD COVERAGE (PPC)</v>
          </cell>
          <cell r="D339" t="str">
            <v>1004073</v>
          </cell>
          <cell r="E339" t="e">
            <v>#N/A</v>
          </cell>
          <cell r="F339" t="e">
            <v>#N/A</v>
          </cell>
        </row>
        <row r="340">
          <cell r="B340" t="str">
            <v>9241</v>
          </cell>
          <cell r="C340" t="str">
            <v>PRIOR PERIOD COVERAGE (PPC)</v>
          </cell>
          <cell r="D340" t="str">
            <v>1004073</v>
          </cell>
          <cell r="E340" t="e">
            <v>#N/A</v>
          </cell>
          <cell r="F340" t="e">
            <v>#N/A</v>
          </cell>
        </row>
        <row r="341">
          <cell r="B341" t="str">
            <v>9242</v>
          </cell>
          <cell r="C341" t="str">
            <v>PRIOR PERIOD COVERAGE (PPC)</v>
          </cell>
          <cell r="D341" t="str">
            <v>1004073</v>
          </cell>
          <cell r="E341" t="e">
            <v>#N/A</v>
          </cell>
          <cell r="F341" t="e">
            <v>#N/A</v>
          </cell>
        </row>
        <row r="342">
          <cell r="B342" t="str">
            <v>9243</v>
          </cell>
          <cell r="C342" t="str">
            <v>PRIOR PERIOD COVERAGE (PPC)</v>
          </cell>
          <cell r="D342" t="str">
            <v>1004073</v>
          </cell>
          <cell r="E342" t="e">
            <v>#N/A</v>
          </cell>
          <cell r="F342" t="e">
            <v>#N/A</v>
          </cell>
        </row>
        <row r="343">
          <cell r="B343" t="str">
            <v>9244</v>
          </cell>
          <cell r="C343" t="str">
            <v>PRIOR PERIOD COVERAGE (PPC)</v>
          </cell>
          <cell r="D343" t="str">
            <v>1004074</v>
          </cell>
          <cell r="E343" t="e">
            <v>#N/A</v>
          </cell>
          <cell r="F343" t="e">
            <v>#N/A</v>
          </cell>
        </row>
        <row r="344">
          <cell r="B344" t="str">
            <v>9245</v>
          </cell>
          <cell r="C344" t="str">
            <v>PRIOR PERIOD COVERAGE (PPC)</v>
          </cell>
          <cell r="D344" t="str">
            <v>1004074</v>
          </cell>
          <cell r="E344" t="e">
            <v>#N/A</v>
          </cell>
          <cell r="F344" t="e">
            <v>#N/A</v>
          </cell>
        </row>
        <row r="345">
          <cell r="B345" t="str">
            <v>9246</v>
          </cell>
          <cell r="C345" t="str">
            <v>PRIOR PERIOD COVERAGE (PPC)</v>
          </cell>
          <cell r="D345" t="str">
            <v>1004074</v>
          </cell>
          <cell r="E345" t="e">
            <v>#N/A</v>
          </cell>
          <cell r="F345" t="e">
            <v>#N/A</v>
          </cell>
        </row>
        <row r="346">
          <cell r="B346" t="str">
            <v>9247</v>
          </cell>
          <cell r="C346" t="str">
            <v>PRIOR PERIOD COVERAGE (PPC)</v>
          </cell>
          <cell r="D346" t="str">
            <v>1004074</v>
          </cell>
          <cell r="E346" t="e">
            <v>#N/A</v>
          </cell>
          <cell r="F346" t="e">
            <v>#N/A</v>
          </cell>
        </row>
        <row r="347">
          <cell r="B347" t="str">
            <v>9248</v>
          </cell>
          <cell r="C347" t="str">
            <v>PRIOR PERIOD COVERAGE (PPC)</v>
          </cell>
          <cell r="D347" t="str">
            <v>1004074</v>
          </cell>
          <cell r="E347" t="e">
            <v>#N/A</v>
          </cell>
          <cell r="F347" t="e">
            <v>#N/A</v>
          </cell>
        </row>
        <row r="348">
          <cell r="B348" t="str">
            <v>9249</v>
          </cell>
          <cell r="C348" t="str">
            <v>PRIOR PERIOD COVERAGE (PPC)</v>
          </cell>
          <cell r="D348" t="str">
            <v>1004074</v>
          </cell>
          <cell r="E348" t="e">
            <v>#N/A</v>
          </cell>
          <cell r="F348" t="e">
            <v>#N/A</v>
          </cell>
        </row>
        <row r="349">
          <cell r="B349" t="str">
            <v>9300</v>
          </cell>
          <cell r="C349" t="str">
            <v>PRIOR PERIOD COVERAGE (PPC)</v>
          </cell>
          <cell r="D349" t="str">
            <v>1004072</v>
          </cell>
          <cell r="E349" t="e">
            <v>#N/A</v>
          </cell>
          <cell r="F349" t="e">
            <v>#N/A</v>
          </cell>
        </row>
        <row r="350">
          <cell r="B350" t="str">
            <v>9910</v>
          </cell>
          <cell r="C350" t="str">
            <v>TANF 14-44 F</v>
          </cell>
          <cell r="D350" t="str">
            <v>1004082</v>
          </cell>
          <cell r="E350" t="str">
            <v>CATEGORICAL</v>
          </cell>
          <cell r="F350" t="str">
            <v>TANF &amp; SOBRA CHILDREN MAO SUPP PMT</v>
          </cell>
        </row>
        <row r="351">
          <cell r="B351" t="str">
            <v>9911</v>
          </cell>
          <cell r="C351" t="str">
            <v>SOBRA MOM</v>
          </cell>
          <cell r="D351" t="str">
            <v>1004082</v>
          </cell>
          <cell r="E351" t="str">
            <v>CATEGORICAL LINKED EXPANSION</v>
          </cell>
          <cell r="F351" t="str">
            <v>SB PAYMENT FOR TANF EXPANDED</v>
          </cell>
        </row>
        <row r="352">
          <cell r="B352" t="str">
            <v>9920</v>
          </cell>
          <cell r="C352" t="str">
            <v>SSI W/MED</v>
          </cell>
          <cell r="D352" t="str">
            <v>1004086</v>
          </cell>
          <cell r="E352" t="str">
            <v>CATEGORICAL</v>
          </cell>
          <cell r="F352" t="str">
            <v>SSI WITH MEDICARE SUPPLEMENTAL PMT</v>
          </cell>
        </row>
        <row r="353">
          <cell r="B353" t="str">
            <v>9921</v>
          </cell>
          <cell r="C353" t="str">
            <v>SSI W/O MED</v>
          </cell>
          <cell r="D353" t="str">
            <v>1004085</v>
          </cell>
          <cell r="E353" t="str">
            <v>CATEGORICAL</v>
          </cell>
          <cell r="F353" t="str">
            <v>SSI NON-MEDICARE SUPPLEMENTAL PMT</v>
          </cell>
        </row>
        <row r="354">
          <cell r="B354" t="str">
            <v>9922</v>
          </cell>
          <cell r="C354" t="str">
            <v>SSI W MED</v>
          </cell>
          <cell r="D354" t="str">
            <v>1004085</v>
          </cell>
          <cell r="E354" t="str">
            <v>CATEGORICAL LINKED EXPANSION</v>
          </cell>
          <cell r="F354" t="str">
            <v>SB PAYMENT FOR SSI EXPANDED WITH MEDICARE</v>
          </cell>
        </row>
        <row r="355">
          <cell r="B355" t="str">
            <v>9923</v>
          </cell>
          <cell r="C355" t="str">
            <v>SSI W/O MED</v>
          </cell>
          <cell r="D355" t="str">
            <v>1004086</v>
          </cell>
          <cell r="E355" t="str">
            <v>CATEGORICAL LINKED EXPANSION</v>
          </cell>
          <cell r="F355" t="str">
            <v>SB PAYMENT FOR SSI EXPANDED NON-MEDICARE</v>
          </cell>
        </row>
        <row r="356">
          <cell r="B356" t="str">
            <v>9930</v>
          </cell>
          <cell r="C356" t="str">
            <v>MN/MI</v>
          </cell>
          <cell r="D356" t="str">
            <v>1004087</v>
          </cell>
          <cell r="E356" t="str">
            <v>NON-CATEGORICAL</v>
          </cell>
          <cell r="F356" t="str">
            <v>EAC/ELIC &amp; MN/MI SUPPLEMENTAL PMT</v>
          </cell>
        </row>
        <row r="357">
          <cell r="B357" t="str">
            <v>9933</v>
          </cell>
          <cell r="C357" t="str">
            <v>Title XIX Waiver Non-MED</v>
          </cell>
          <cell r="D357" t="str">
            <v>1004087</v>
          </cell>
          <cell r="E357" t="str">
            <v>FEDERAL NON-CATEGORICAL LINKED EXPANSION</v>
          </cell>
          <cell r="F357" t="str">
            <v>SB PAYMENT FOR TITLE XIX WAIVER GRP</v>
          </cell>
        </row>
        <row r="358">
          <cell r="B358" t="str">
            <v>9934</v>
          </cell>
          <cell r="C358" t="str">
            <v>MN/MI</v>
          </cell>
          <cell r="D358" t="str">
            <v>1004099</v>
          </cell>
          <cell r="E358" t="str">
            <v>FEDERAL NON-CATEGORICAL LINKED CONVERSION</v>
          </cell>
          <cell r="F358" t="str">
            <v>SB PAYMENT FOR MED ELIGIBLES</v>
          </cell>
        </row>
        <row r="359">
          <cell r="B359" t="str">
            <v>9936</v>
          </cell>
          <cell r="C359" t="str">
            <v>MN/MI</v>
          </cell>
          <cell r="D359" t="str">
            <v>1004087</v>
          </cell>
          <cell r="E359" t="str">
            <v>FEDERAL NON-CATEGORICAL LINKED CONVERSION</v>
          </cell>
          <cell r="F359" t="str">
            <v>SB PAYMENT FOR TITLE XIX WAIVER GRP/MI</v>
          </cell>
        </row>
        <row r="360">
          <cell r="B360" t="str">
            <v>9950</v>
          </cell>
          <cell r="C360" t="str">
            <v>SOBRA MOM</v>
          </cell>
          <cell r="D360" t="str">
            <v>1004088</v>
          </cell>
          <cell r="E360" t="str">
            <v>CATEGORICAL</v>
          </cell>
          <cell r="F360" t="str">
            <v>SOBRA SUPPLEMENTAL</v>
          </cell>
        </row>
        <row r="361">
          <cell r="B361" t="str">
            <v>9960</v>
          </cell>
          <cell r="C361" t="str">
            <v>KIDS CARE 14-18 F</v>
          </cell>
          <cell r="D361" t="str">
            <v>1004093</v>
          </cell>
          <cell r="E361" t="str">
            <v>Non Categorical</v>
          </cell>
          <cell r="F361" t="str">
            <v>KIDSCARE SUPPLEMENTAL</v>
          </cell>
        </row>
        <row r="362">
          <cell r="B362" t="str">
            <v>9961</v>
          </cell>
          <cell r="C362" t="str">
            <v>PRIOR PERIOD COVERAGE (PPC)</v>
          </cell>
          <cell r="D362" t="str">
            <v>1004077</v>
          </cell>
          <cell r="E362" t="e">
            <v>#N/A</v>
          </cell>
          <cell r="F362" t="e">
            <v>#N/A</v>
          </cell>
        </row>
        <row r="363">
          <cell r="B363" t="str">
            <v>9962</v>
          </cell>
          <cell r="C363" t="str">
            <v>PRIOR PERIOD COVERAGE (PPC)</v>
          </cell>
          <cell r="D363" t="str">
            <v>1004077</v>
          </cell>
          <cell r="E363" t="e">
            <v>#N/A</v>
          </cell>
          <cell r="F363" t="e">
            <v>#N/A</v>
          </cell>
        </row>
        <row r="364">
          <cell r="B364" t="str">
            <v>9963</v>
          </cell>
          <cell r="C364" t="str">
            <v>PRIOR PERIOD COVERAGE (PPC)</v>
          </cell>
          <cell r="D364" t="str">
            <v>1004077</v>
          </cell>
          <cell r="E364" t="e">
            <v>#N/A</v>
          </cell>
          <cell r="F364" t="e">
            <v>#N/A</v>
          </cell>
        </row>
        <row r="365">
          <cell r="B365" t="str">
            <v>9964</v>
          </cell>
          <cell r="C365" t="str">
            <v>PRIOR PERIOD COVERAGE (PPC)</v>
          </cell>
          <cell r="D365" t="str">
            <v>1004077</v>
          </cell>
          <cell r="E365" t="e">
            <v>#N/A</v>
          </cell>
          <cell r="F365" t="e">
            <v>#N/A</v>
          </cell>
        </row>
        <row r="366">
          <cell r="B366" t="str">
            <v>9965</v>
          </cell>
          <cell r="C366" t="str">
            <v>PRIOR PERIOD COVERAGE (PPC)</v>
          </cell>
          <cell r="D366" t="str">
            <v>1004077</v>
          </cell>
          <cell r="E366" t="e">
            <v>#N/A</v>
          </cell>
          <cell r="F366" t="e">
            <v>#N/A</v>
          </cell>
        </row>
        <row r="367">
          <cell r="B367" t="str">
            <v>9966</v>
          </cell>
          <cell r="C367" t="str">
            <v>PRIOR PERIOD COVERAGE (PPC)</v>
          </cell>
          <cell r="D367" t="str">
            <v>1004077</v>
          </cell>
          <cell r="E367" t="e">
            <v>#N/A</v>
          </cell>
          <cell r="F367" t="e">
            <v>#N/A</v>
          </cell>
        </row>
        <row r="368">
          <cell r="B368" t="str">
            <v>9967</v>
          </cell>
          <cell r="C368" t="str">
            <v>PRIOR PERIOD COVERAGE (PPC)</v>
          </cell>
          <cell r="D368" t="str">
            <v>1004077</v>
          </cell>
          <cell r="E368" t="e">
            <v>#N/A</v>
          </cell>
          <cell r="F368" t="e">
            <v>#N/A</v>
          </cell>
        </row>
        <row r="369">
          <cell r="B369" t="str">
            <v>9968</v>
          </cell>
          <cell r="C369" t="str">
            <v>PRIOR PERIOD COVERAGE (PPC)</v>
          </cell>
          <cell r="D369" t="str">
            <v>1004077</v>
          </cell>
          <cell r="E369" t="e">
            <v>#N/A</v>
          </cell>
          <cell r="F369" t="e">
            <v>#N/A</v>
          </cell>
        </row>
        <row r="370">
          <cell r="B370" t="str">
            <v>9969</v>
          </cell>
          <cell r="C370" t="str">
            <v>PRIOR PERIOD COVERAGE (PPC)</v>
          </cell>
          <cell r="D370" t="str">
            <v>1004077</v>
          </cell>
          <cell r="E370" t="e">
            <v>#N/A</v>
          </cell>
          <cell r="F370" t="e">
            <v>#N/A</v>
          </cell>
        </row>
        <row r="371">
          <cell r="B371" t="str">
            <v>9970</v>
          </cell>
          <cell r="C371" t="str">
            <v>PRIOR PERIOD COVERAGE (PPC)</v>
          </cell>
          <cell r="D371" t="str">
            <v>1004077</v>
          </cell>
          <cell r="E371" t="e">
            <v>#N/A</v>
          </cell>
          <cell r="F371" t="e">
            <v>#N/A</v>
          </cell>
        </row>
        <row r="372">
          <cell r="B372" t="str">
            <v>9971</v>
          </cell>
          <cell r="C372" t="str">
            <v>PRIOR PERIOD COVERAGE (PPC)</v>
          </cell>
          <cell r="D372" t="str">
            <v>1004077</v>
          </cell>
          <cell r="E372" t="e">
            <v>#N/A</v>
          </cell>
          <cell r="F372" t="e">
            <v>#N/A</v>
          </cell>
        </row>
        <row r="373">
          <cell r="B373" t="str">
            <v>9972</v>
          </cell>
          <cell r="C373" t="str">
            <v>PRIOR PERIOD COVERAGE (PPC)</v>
          </cell>
          <cell r="D373" t="str">
            <v>1004077</v>
          </cell>
          <cell r="E373" t="e">
            <v>#N/A</v>
          </cell>
          <cell r="F373" t="e">
            <v>#N/A</v>
          </cell>
        </row>
        <row r="374">
          <cell r="B374" t="str">
            <v>9973</v>
          </cell>
          <cell r="C374" t="str">
            <v>PRIOR PERIOD COVERAGE (PPC)</v>
          </cell>
          <cell r="D374" t="str">
            <v>1004077</v>
          </cell>
          <cell r="E374" t="e">
            <v>#N/A</v>
          </cell>
          <cell r="F374" t="e">
            <v>#N/A</v>
          </cell>
        </row>
        <row r="375">
          <cell r="B375" t="str">
            <v>9974</v>
          </cell>
          <cell r="C375" t="str">
            <v>PRIOR PERIOD COVERAGE (PPC)</v>
          </cell>
          <cell r="D375" t="str">
            <v>1004077</v>
          </cell>
          <cell r="E375" t="e">
            <v>#N/A</v>
          </cell>
          <cell r="F375" t="e">
            <v>#N/A</v>
          </cell>
        </row>
        <row r="376">
          <cell r="B376" t="str">
            <v>9975</v>
          </cell>
          <cell r="C376" t="str">
            <v>PRIOR PERIOD COVERAGE (PPC)</v>
          </cell>
          <cell r="D376" t="str">
            <v>1004077</v>
          </cell>
          <cell r="E376" t="e">
            <v>#N/A</v>
          </cell>
          <cell r="F376" t="e">
            <v>#N/A</v>
          </cell>
        </row>
        <row r="377">
          <cell r="B377" t="str">
            <v>9976</v>
          </cell>
          <cell r="C377" t="str">
            <v>PRIOR PERIOD COVERAGE (PPC)</v>
          </cell>
          <cell r="D377" t="str">
            <v>1004077</v>
          </cell>
          <cell r="E377" t="e">
            <v>#N/A</v>
          </cell>
          <cell r="F377" t="e">
            <v>#N/A</v>
          </cell>
        </row>
        <row r="378">
          <cell r="B378" t="str">
            <v>9977</v>
          </cell>
          <cell r="C378" t="str">
            <v>PRIOR PERIOD COVERAGE (PPC)</v>
          </cell>
          <cell r="D378" t="str">
            <v>1004077</v>
          </cell>
          <cell r="E378" t="e">
            <v>#N/A</v>
          </cell>
          <cell r="F378" t="e">
            <v>#N/A</v>
          </cell>
        </row>
        <row r="379">
          <cell r="B379" t="str">
            <v>9978</v>
          </cell>
          <cell r="C379" t="str">
            <v>PRIOR PERIOD COVERAGE (PPC)</v>
          </cell>
          <cell r="D379" t="str">
            <v>1004077</v>
          </cell>
          <cell r="E379" t="e">
            <v>#N/A</v>
          </cell>
          <cell r="F379" t="e">
            <v>#N/A</v>
          </cell>
        </row>
        <row r="380">
          <cell r="B380" t="str">
            <v>9979</v>
          </cell>
          <cell r="C380" t="str">
            <v>PRIOR PERIOD COVERAGE (PPC)</v>
          </cell>
          <cell r="D380" t="str">
            <v>1004077</v>
          </cell>
          <cell r="E380" t="e">
            <v>#N/A</v>
          </cell>
          <cell r="F380" t="e">
            <v>#N/A</v>
          </cell>
        </row>
        <row r="381">
          <cell r="B381" t="str">
            <v>9980</v>
          </cell>
          <cell r="C381" t="str">
            <v>PRIOR PERIOD COVERAGE (PPC)</v>
          </cell>
          <cell r="D381" t="str">
            <v>1004077</v>
          </cell>
          <cell r="E381" t="e">
            <v>#N/A</v>
          </cell>
          <cell r="F381" t="e">
            <v>#N/A</v>
          </cell>
        </row>
        <row r="382">
          <cell r="B382" t="str">
            <v>9981</v>
          </cell>
          <cell r="C382" t="str">
            <v>PRIOR PERIOD COVERAGE (PPC)</v>
          </cell>
          <cell r="D382" t="str">
            <v>1004077</v>
          </cell>
          <cell r="E382" t="e">
            <v>#N/A</v>
          </cell>
          <cell r="F382" t="e">
            <v>#N/A</v>
          </cell>
        </row>
        <row r="383">
          <cell r="B383" t="str">
            <v>9982</v>
          </cell>
          <cell r="C383" t="str">
            <v>PRIOR PERIOD COVERAGE (PPC)</v>
          </cell>
          <cell r="D383" t="str">
            <v>1004077</v>
          </cell>
          <cell r="E383" t="e">
            <v>#N/A</v>
          </cell>
          <cell r="F383" t="e">
            <v>#N/A</v>
          </cell>
        </row>
        <row r="384">
          <cell r="B384" t="str">
            <v>9983</v>
          </cell>
          <cell r="C384" t="str">
            <v>PRIOR PERIOD COVERAGE (PPC)</v>
          </cell>
          <cell r="D384" t="str">
            <v>1004077</v>
          </cell>
          <cell r="E384" t="e">
            <v>#N/A</v>
          </cell>
          <cell r="F384" t="e">
            <v>#N/A</v>
          </cell>
        </row>
        <row r="385">
          <cell r="B385" t="str">
            <v>9984</v>
          </cell>
          <cell r="C385" t="str">
            <v>PRIOR PERIOD COVERAGE (PPC)</v>
          </cell>
          <cell r="D385" t="str">
            <v>1004077</v>
          </cell>
          <cell r="E385" t="e">
            <v>#N/A</v>
          </cell>
          <cell r="F385" t="e">
            <v>#N/A</v>
          </cell>
        </row>
        <row r="386">
          <cell r="B386" t="str">
            <v>9985</v>
          </cell>
          <cell r="C386" t="str">
            <v>PRIOR PERIOD COVERAGE (PPC)</v>
          </cell>
          <cell r="D386" t="str">
            <v>1004077</v>
          </cell>
          <cell r="E386" t="e">
            <v>#N/A</v>
          </cell>
          <cell r="F386" t="e">
            <v>#N/A</v>
          </cell>
        </row>
        <row r="387">
          <cell r="B387" t="str">
            <v>9986</v>
          </cell>
          <cell r="C387" t="str">
            <v>PRIOR PERIOD COVERAGE (PPC)</v>
          </cell>
          <cell r="D387" t="str">
            <v>1004077</v>
          </cell>
          <cell r="E387" t="e">
            <v>#N/A</v>
          </cell>
          <cell r="F387" t="e">
            <v>#N/A</v>
          </cell>
        </row>
        <row r="388">
          <cell r="B388" t="str">
            <v>9987</v>
          </cell>
          <cell r="C388" t="str">
            <v>PRIOR PERIOD COVERAGE (PPC)</v>
          </cell>
          <cell r="D388" t="str">
            <v>1004077</v>
          </cell>
          <cell r="E388" t="e">
            <v>#N/A</v>
          </cell>
          <cell r="F388" t="e">
            <v>#N/A</v>
          </cell>
        </row>
        <row r="389">
          <cell r="B389" t="str">
            <v>9988</v>
          </cell>
          <cell r="C389" t="str">
            <v>PRIOR PERIOD COVERAGE (PPC)</v>
          </cell>
          <cell r="D389" t="str">
            <v>1004076</v>
          </cell>
          <cell r="E389" t="e">
            <v>#N/A</v>
          </cell>
          <cell r="F389" t="e">
            <v>#N/A</v>
          </cell>
        </row>
        <row r="390">
          <cell r="B390" t="str">
            <v>9989</v>
          </cell>
          <cell r="C390" t="str">
            <v>PRIOR PERIOD COVERAGE (PPC)</v>
          </cell>
          <cell r="D390" t="str">
            <v>1004076</v>
          </cell>
          <cell r="E390" t="e">
            <v>#N/A</v>
          </cell>
          <cell r="F390" t="e">
            <v>#N/A</v>
          </cell>
        </row>
        <row r="391">
          <cell r="B391" t="str">
            <v>9990</v>
          </cell>
          <cell r="C391" t="str">
            <v>SOBRA MOM</v>
          </cell>
          <cell r="D391" t="str">
            <v>1004088</v>
          </cell>
          <cell r="E391" t="str">
            <v>CATEGORICAL</v>
          </cell>
          <cell r="F391" t="str">
            <v>SOBRA SUPPLEMENTAL</v>
          </cell>
        </row>
        <row r="392">
          <cell r="B392" t="str">
            <v>9991</v>
          </cell>
          <cell r="C392" t="str">
            <v>PRIOR PERIOD COVERAGE (PPC)</v>
          </cell>
          <cell r="D392" t="str">
            <v>1004076</v>
          </cell>
          <cell r="E392" t="e">
            <v>#N/A</v>
          </cell>
          <cell r="F392" t="e">
            <v>#N/A</v>
          </cell>
        </row>
        <row r="393">
          <cell r="B393" t="str">
            <v>9992</v>
          </cell>
          <cell r="C393" t="str">
            <v>PRIOR PERIOD COVERAGE (PPC)</v>
          </cell>
          <cell r="D393" t="str">
            <v>1004075</v>
          </cell>
          <cell r="E393" t="e">
            <v>#N/A</v>
          </cell>
          <cell r="F393" t="e">
            <v>#N/A</v>
          </cell>
        </row>
        <row r="394">
          <cell r="B394" t="str">
            <v>9993</v>
          </cell>
          <cell r="C394" t="str">
            <v>PRIOR PERIOD COVERAGE (PPC)</v>
          </cell>
          <cell r="D394" t="str">
            <v>1004075</v>
          </cell>
          <cell r="E394" t="e">
            <v>#N/A</v>
          </cell>
          <cell r="F394" t="e">
            <v>#N/A</v>
          </cell>
        </row>
        <row r="395">
          <cell r="B395" t="str">
            <v>9994</v>
          </cell>
          <cell r="C395" t="str">
            <v>PRIOR PERIOD COVERAGE (PPC)</v>
          </cell>
          <cell r="D395" t="str">
            <v>1004075</v>
          </cell>
          <cell r="E395" t="e">
            <v>#N/A</v>
          </cell>
          <cell r="F395" t="e">
            <v>#N/A</v>
          </cell>
        </row>
        <row r="396">
          <cell r="B396" t="str">
            <v>9995</v>
          </cell>
          <cell r="C396" t="str">
            <v>PRIOR PERIOD COVERAGE (PPC)</v>
          </cell>
          <cell r="D396" t="str">
            <v>1004075</v>
          </cell>
          <cell r="E396" t="e">
            <v>#N/A</v>
          </cell>
          <cell r="F396" t="e">
            <v>#N/A</v>
          </cell>
        </row>
        <row r="397">
          <cell r="B397" t="str">
            <v>9996</v>
          </cell>
          <cell r="C397" t="str">
            <v>PRIOR PERIOD COVERAGE (PPC)</v>
          </cell>
          <cell r="D397" t="str">
            <v>1004075</v>
          </cell>
          <cell r="E397" t="e">
            <v>#N/A</v>
          </cell>
          <cell r="F397" t="e">
            <v>#N/A</v>
          </cell>
        </row>
        <row r="398">
          <cell r="B398" t="str">
            <v>9997</v>
          </cell>
          <cell r="C398" t="str">
            <v>PRIOR PERIOD COVERAGE (PPC)</v>
          </cell>
          <cell r="D398" t="str">
            <v>1004075</v>
          </cell>
          <cell r="E398" t="str">
            <v>CATEGORICAL</v>
          </cell>
          <cell r="F398" t="str">
            <v>SOBRA SUPPLEMENTAL</v>
          </cell>
        </row>
        <row r="399">
          <cell r="B399" t="str">
            <v>33019</v>
          </cell>
          <cell r="D399" t="str">
            <v>1004087</v>
          </cell>
          <cell r="E399" t="e">
            <v>#N/A</v>
          </cell>
          <cell r="F399" t="e">
            <v>#N/A</v>
          </cell>
        </row>
        <row r="400">
          <cell r="B400" t="str">
            <v>3301</v>
          </cell>
          <cell r="C400" t="str">
            <v>Title XIX Waiver Non-MED</v>
          </cell>
          <cell r="D400" t="str">
            <v>1004087</v>
          </cell>
          <cell r="E400" t="str">
            <v>FEDERAL NON-CATEGORICAL LINKED EXPANSION</v>
          </cell>
          <cell r="F400" t="str">
            <v>TITLE XIX WAIVER GRP &lt;1 M/F WITH MEDICARE</v>
          </cell>
        </row>
        <row r="401">
          <cell r="B401" t="str">
            <v>33299</v>
          </cell>
          <cell r="D401" t="str">
            <v>1004000</v>
          </cell>
          <cell r="E401" t="e">
            <v>#N/A</v>
          </cell>
          <cell r="F401" t="e">
            <v>#N/A</v>
          </cell>
        </row>
        <row r="402">
          <cell r="B402" t="str">
            <v>3329</v>
          </cell>
          <cell r="C402" t="str">
            <v>Title XIX Waiver Non-MED</v>
          </cell>
          <cell r="D402" t="str">
            <v>1004087</v>
          </cell>
          <cell r="E402" t="str">
            <v>FEDERAL NON-CATEGORICAL LINKED EXPANSION</v>
          </cell>
          <cell r="F402" t="str">
            <v>TITLE XIX WAIVER GRP 65+ M/F WITH QMB</v>
          </cell>
        </row>
        <row r="406">
          <cell r="A406" t="str">
            <v>Acuna, Norma</v>
          </cell>
          <cell r="B406" t="str">
            <v>Blanck</v>
          </cell>
        </row>
        <row r="407">
          <cell r="A407" t="str">
            <v>Acuna, Baby Girl</v>
          </cell>
          <cell r="B407" t="str">
            <v>Blanck</v>
          </cell>
        </row>
        <row r="408">
          <cell r="A408" t="str">
            <v>Aguilar, Timothy</v>
          </cell>
          <cell r="B408" t="str">
            <v>Goldsmith</v>
          </cell>
        </row>
        <row r="409">
          <cell r="A409" t="str">
            <v>Ainza, Jose</v>
          </cell>
          <cell r="B409" t="str">
            <v>Goldsmith</v>
          </cell>
        </row>
        <row r="410">
          <cell r="A410" t="str">
            <v>Allen, David</v>
          </cell>
          <cell r="B410" t="str">
            <v>Jessani</v>
          </cell>
        </row>
        <row r="411">
          <cell r="A411" t="str">
            <v>Baird, Dennis</v>
          </cell>
          <cell r="B411" t="str">
            <v>Carmichael</v>
          </cell>
        </row>
        <row r="412">
          <cell r="A412" t="str">
            <v>Ballinger, William</v>
          </cell>
          <cell r="B412" t="str">
            <v>Vollmer</v>
          </cell>
        </row>
        <row r="413">
          <cell r="A413" t="str">
            <v>Beaman, Robert</v>
          </cell>
          <cell r="B413" t="str">
            <v>Kahan</v>
          </cell>
        </row>
        <row r="414">
          <cell r="A414" t="str">
            <v>Bell, Theresa</v>
          </cell>
          <cell r="B414" t="str">
            <v>Darragh</v>
          </cell>
        </row>
        <row r="415">
          <cell r="A415" t="str">
            <v>Bell, Thresa</v>
          </cell>
          <cell r="B415" t="str">
            <v>Darragh</v>
          </cell>
        </row>
        <row r="416">
          <cell r="A416" t="str">
            <v>Billington, Kevin</v>
          </cell>
          <cell r="B416" t="str">
            <v>Maksvytis</v>
          </cell>
        </row>
        <row r="417">
          <cell r="A417" t="str">
            <v>Bravo, David</v>
          </cell>
          <cell r="B417" t="str">
            <v>Carmichael</v>
          </cell>
        </row>
        <row r="418">
          <cell r="A418" t="str">
            <v>Burbey, Lynn</v>
          </cell>
          <cell r="B418" t="str">
            <v>Estok</v>
          </cell>
        </row>
        <row r="419">
          <cell r="A419" t="str">
            <v>CARTER, ANTHONY</v>
          </cell>
          <cell r="B419" t="str">
            <v>Darragh</v>
          </cell>
        </row>
        <row r="420">
          <cell r="A420" t="str">
            <v>Cantrell, Valerie</v>
          </cell>
          <cell r="B420" t="str">
            <v>McClelland</v>
          </cell>
        </row>
        <row r="421">
          <cell r="A421" t="str">
            <v>Castro, Eric</v>
          </cell>
          <cell r="B421" t="str">
            <v>Goldsmith</v>
          </cell>
        </row>
        <row r="422">
          <cell r="A422" t="str">
            <v>Castenada, Cuberto R</v>
          </cell>
          <cell r="B422" t="str">
            <v>Carmichael</v>
          </cell>
        </row>
        <row r="423">
          <cell r="A423" t="str">
            <v>Challenger, Joshua</v>
          </cell>
          <cell r="B423" t="str">
            <v>Vollmer</v>
          </cell>
        </row>
        <row r="424">
          <cell r="A424" t="str">
            <v>Clark, Steve</v>
          </cell>
          <cell r="B424" t="str">
            <v>Goldsmith</v>
          </cell>
        </row>
        <row r="425">
          <cell r="A425" t="str">
            <v>Cline, Lareae</v>
          </cell>
          <cell r="B425" t="str">
            <v>Goldsmith</v>
          </cell>
        </row>
        <row r="426">
          <cell r="A426" t="str">
            <v>Coderre Barbara</v>
          </cell>
          <cell r="B426" t="str">
            <v>Goldsmith</v>
          </cell>
        </row>
        <row r="427">
          <cell r="A427" t="str">
            <v>Cordova, Alejandro</v>
          </cell>
          <cell r="B427" t="str">
            <v>Estok</v>
          </cell>
        </row>
        <row r="428">
          <cell r="A428" t="str">
            <v>ARREOLA, ALEJANDRO</v>
          </cell>
          <cell r="B428" t="str">
            <v>Vollmer</v>
          </cell>
        </row>
        <row r="429">
          <cell r="A429" t="str">
            <v>Crump, Gordan</v>
          </cell>
          <cell r="B429" t="str">
            <v>Vollmer</v>
          </cell>
        </row>
        <row r="430">
          <cell r="A430" t="str">
            <v>CRUMP, GORDON</v>
          </cell>
          <cell r="B430" t="str">
            <v>Vollmer</v>
          </cell>
        </row>
        <row r="431">
          <cell r="A431" t="str">
            <v>Cruz, Gerald</v>
          </cell>
          <cell r="B431" t="str">
            <v>Goldsmith</v>
          </cell>
        </row>
        <row r="432">
          <cell r="A432" t="str">
            <v>Denson, John</v>
          </cell>
          <cell r="B432" t="str">
            <v>Vollmer</v>
          </cell>
        </row>
        <row r="433">
          <cell r="A433" t="str">
            <v>Dickinson, Daniel J</v>
          </cell>
          <cell r="B433" t="str">
            <v>Darraugh</v>
          </cell>
        </row>
        <row r="434">
          <cell r="A434" t="str">
            <v>Dunlap, Travis</v>
          </cell>
          <cell r="B434" t="str">
            <v>Vollmer</v>
          </cell>
        </row>
        <row r="435">
          <cell r="A435" t="str">
            <v>EDWARDS, DARRYL</v>
          </cell>
          <cell r="B435" t="str">
            <v>Siwik</v>
          </cell>
        </row>
        <row r="436">
          <cell r="A436" t="str">
            <v>Escalante, Christian</v>
          </cell>
          <cell r="B436" t="str">
            <v>Darragh</v>
          </cell>
        </row>
        <row r="437">
          <cell r="A437" t="str">
            <v>FALLON, JOHN</v>
          </cell>
          <cell r="B437" t="str">
            <v>Madden</v>
          </cell>
        </row>
        <row r="438">
          <cell r="A438" t="str">
            <v>Felland, Raymond</v>
          </cell>
          <cell r="B438" t="str">
            <v>Vollmer</v>
          </cell>
        </row>
        <row r="439">
          <cell r="A439" t="str">
            <v>FEURSTOCK, WILLIAM</v>
          </cell>
          <cell r="B439" t="str">
            <v>Spegman</v>
          </cell>
        </row>
        <row r="440">
          <cell r="A440" t="str">
            <v>Feurstock II, William A.</v>
          </cell>
          <cell r="B440" t="str">
            <v>Spegman</v>
          </cell>
        </row>
        <row r="441">
          <cell r="A441" t="str">
            <v>Fiallos, Jose</v>
          </cell>
          <cell r="B441" t="str">
            <v>Goldsmith</v>
          </cell>
        </row>
        <row r="442">
          <cell r="A442" t="str">
            <v>FRANKLIN, JAMES</v>
          </cell>
          <cell r="B442" t="str">
            <v>Carmichael</v>
          </cell>
        </row>
        <row r="443">
          <cell r="A443" t="str">
            <v>Fredenberg,David D.</v>
          </cell>
          <cell r="B443" t="str">
            <v>Carmichael</v>
          </cell>
        </row>
        <row r="444">
          <cell r="A444" t="str">
            <v>Galvez, Eddy</v>
          </cell>
          <cell r="B444" t="str">
            <v>Vollmer</v>
          </cell>
        </row>
        <row r="445">
          <cell r="A445" t="str">
            <v>Garcia, Gresella</v>
          </cell>
          <cell r="B445" t="str">
            <v>Binkewicz</v>
          </cell>
        </row>
        <row r="446">
          <cell r="A446" t="str">
            <v>Garcia, Luis</v>
          </cell>
          <cell r="B446" t="str">
            <v>Hadeli</v>
          </cell>
        </row>
        <row r="447">
          <cell r="A447" t="str">
            <v>Garcia, Norma</v>
          </cell>
          <cell r="B447" t="str">
            <v>Hadeli</v>
          </cell>
        </row>
        <row r="448">
          <cell r="A448" t="str">
            <v>Gertz, Larry</v>
          </cell>
          <cell r="B448" t="str">
            <v>Estok</v>
          </cell>
        </row>
        <row r="449">
          <cell r="A449" t="str">
            <v>Gillmore, Daniel</v>
          </cell>
          <cell r="B449" t="str">
            <v>Carmichael</v>
          </cell>
        </row>
        <row r="450">
          <cell r="A450" t="str">
            <v>Gingles-Burhopp, Mark</v>
          </cell>
          <cell r="B450" t="str">
            <v>Carmichael</v>
          </cell>
        </row>
        <row r="451">
          <cell r="A451" t="str">
            <v>Griffin, Bruce</v>
          </cell>
          <cell r="B451" t="str">
            <v>Goldsmith</v>
          </cell>
        </row>
        <row r="452">
          <cell r="A452" t="str">
            <v>Guerrero, Johnny</v>
          </cell>
          <cell r="B452" t="str">
            <v>Goldsmith</v>
          </cell>
        </row>
        <row r="453">
          <cell r="A453" t="str">
            <v>Herrera, Erica</v>
          </cell>
          <cell r="B453" t="str">
            <v>Goldsmith</v>
          </cell>
        </row>
        <row r="454">
          <cell r="A454" t="str">
            <v>Heyde, Lahanna</v>
          </cell>
          <cell r="B454" t="str">
            <v>Murrain</v>
          </cell>
        </row>
        <row r="455">
          <cell r="A455" t="str">
            <v>Herrett, Allisa</v>
          </cell>
          <cell r="B455" t="str">
            <v>Estok</v>
          </cell>
        </row>
        <row r="456">
          <cell r="A456" t="str">
            <v>HAMMONS, FREDERICK</v>
          </cell>
          <cell r="B456" t="str">
            <v>Vollmer</v>
          </cell>
        </row>
        <row r="457">
          <cell r="A457" t="str">
            <v>Hogan, David</v>
          </cell>
          <cell r="B457" t="str">
            <v>Wadleigh</v>
          </cell>
        </row>
        <row r="458">
          <cell r="A458" t="str">
            <v>Holt, Mark</v>
          </cell>
          <cell r="B458" t="str">
            <v>Estok</v>
          </cell>
        </row>
        <row r="459">
          <cell r="A459" t="str">
            <v>HOWARD, DAVID</v>
          </cell>
          <cell r="B459" t="str">
            <v>Baxter</v>
          </cell>
        </row>
        <row r="460">
          <cell r="A460" t="str">
            <v>Hughes, James</v>
          </cell>
          <cell r="B460" t="str">
            <v>Valencia</v>
          </cell>
        </row>
        <row r="461">
          <cell r="A461" t="str">
            <v>Jacques, Carlos</v>
          </cell>
          <cell r="B461" t="str">
            <v>Ditmanson</v>
          </cell>
        </row>
        <row r="462">
          <cell r="A462" t="str">
            <v>Kelley, Ronald</v>
          </cell>
          <cell r="B462" t="str">
            <v>Carmichael</v>
          </cell>
        </row>
        <row r="463">
          <cell r="A463" t="str">
            <v>Kidd, Randy L</v>
          </cell>
          <cell r="B463" t="str">
            <v>Goldsmith</v>
          </cell>
        </row>
        <row r="464">
          <cell r="A464" t="str">
            <v>King, Brian</v>
          </cell>
          <cell r="B464" t="str">
            <v>Estok</v>
          </cell>
        </row>
        <row r="465">
          <cell r="A465" t="str">
            <v>Knutson, Keith</v>
          </cell>
          <cell r="B465" t="str">
            <v>Lagulio</v>
          </cell>
        </row>
        <row r="466">
          <cell r="A466" t="str">
            <v>Knutson, Sherry</v>
          </cell>
          <cell r="B466" t="str">
            <v>Lagulio</v>
          </cell>
        </row>
        <row r="467">
          <cell r="A467" t="str">
            <v>Kraus, Robert</v>
          </cell>
          <cell r="B467" t="str">
            <v>Kutob</v>
          </cell>
        </row>
        <row r="468">
          <cell r="A468" t="str">
            <v>Leland, Barbara</v>
          </cell>
          <cell r="B468" t="str">
            <v>Vollmer</v>
          </cell>
        </row>
        <row r="469">
          <cell r="A469" t="str">
            <v>LINZY, JEFFERY</v>
          </cell>
          <cell r="B469" t="str">
            <v>Carmichael</v>
          </cell>
        </row>
        <row r="470">
          <cell r="A470" t="str">
            <v>Linzy, Jeffrey</v>
          </cell>
          <cell r="B470" t="str">
            <v>Carmichael</v>
          </cell>
        </row>
        <row r="471">
          <cell r="A471" t="str">
            <v>Lockett, Sherry</v>
          </cell>
          <cell r="B471" t="str">
            <v>Estok</v>
          </cell>
        </row>
        <row r="472">
          <cell r="A472" t="str">
            <v>Long, Tyrone</v>
          </cell>
          <cell r="B472" t="str">
            <v>Estok</v>
          </cell>
        </row>
        <row r="473">
          <cell r="A473" t="str">
            <v>Luiz, James R.</v>
          </cell>
          <cell r="B473" t="str">
            <v>Goldsmith</v>
          </cell>
        </row>
        <row r="474">
          <cell r="A474" t="str">
            <v>Manners, Bruce</v>
          </cell>
          <cell r="B474" t="str">
            <v>Estok</v>
          </cell>
        </row>
        <row r="475">
          <cell r="A475" t="str">
            <v>MARTINEZ, OSCAR</v>
          </cell>
          <cell r="B475" t="str">
            <v>Estok</v>
          </cell>
        </row>
        <row r="476">
          <cell r="A476" t="str">
            <v>McInnis, Steve</v>
          </cell>
          <cell r="B476" t="str">
            <v>Vollmer</v>
          </cell>
        </row>
        <row r="477">
          <cell r="A477" t="str">
            <v>Miranda, Greg</v>
          </cell>
          <cell r="B477" t="str">
            <v>Rubin</v>
          </cell>
        </row>
        <row r="478">
          <cell r="A478" t="str">
            <v>MODENE JR, GERALD</v>
          </cell>
          <cell r="B478" t="str">
            <v>Estok</v>
          </cell>
        </row>
        <row r="479">
          <cell r="A479" t="str">
            <v>Mooney, Jeff</v>
          </cell>
          <cell r="B479" t="str">
            <v>Vollmer</v>
          </cell>
        </row>
        <row r="480">
          <cell r="A480" t="str">
            <v>Moore, Willie</v>
          </cell>
          <cell r="B480" t="str">
            <v>Goldsmith</v>
          </cell>
        </row>
        <row r="481">
          <cell r="A481" t="str">
            <v>Moreno Gradias, Jesus</v>
          </cell>
          <cell r="B481" t="str">
            <v>Estok</v>
          </cell>
        </row>
        <row r="482">
          <cell r="A482" t="str">
            <v>Moreno, Luis A</v>
          </cell>
          <cell r="B482" t="str">
            <v>Goldsmith</v>
          </cell>
        </row>
        <row r="483">
          <cell r="A483" t="str">
            <v>Moreno-Gradias Jesus</v>
          </cell>
          <cell r="B483" t="str">
            <v>Goldsmith</v>
          </cell>
        </row>
        <row r="484">
          <cell r="A484" t="str">
            <v>Murphy, Nika</v>
          </cell>
          <cell r="B484" t="str">
            <v>Ditmanson</v>
          </cell>
        </row>
        <row r="485">
          <cell r="A485" t="str">
            <v>Oseland, Amy</v>
          </cell>
          <cell r="B485" t="str">
            <v>Estok</v>
          </cell>
        </row>
        <row r="486">
          <cell r="A486" t="str">
            <v>Pagel, Daniel J.</v>
          </cell>
          <cell r="B486" t="str">
            <v>Darraugh</v>
          </cell>
        </row>
        <row r="487">
          <cell r="A487" t="str">
            <v>PARKER, PHILLIP</v>
          </cell>
          <cell r="B487" t="str">
            <v>Vollmer</v>
          </cell>
        </row>
        <row r="488">
          <cell r="A488" t="str">
            <v>Perkins, Glen</v>
          </cell>
          <cell r="B488" t="str">
            <v>Ditmanson</v>
          </cell>
        </row>
        <row r="489">
          <cell r="A489" t="str">
            <v>Perkins, Kevin</v>
          </cell>
          <cell r="B489" t="str">
            <v>Ditmanson</v>
          </cell>
        </row>
        <row r="490">
          <cell r="A490" t="str">
            <v>PETTY, FLOYD</v>
          </cell>
          <cell r="B490" t="str">
            <v>Goldsmith</v>
          </cell>
        </row>
        <row r="491">
          <cell r="A491" t="str">
            <v>Ramon, Ricardo</v>
          </cell>
          <cell r="B491" t="str">
            <v>Vollmer</v>
          </cell>
        </row>
        <row r="492">
          <cell r="A492" t="str">
            <v>RICE JR, LEONARD</v>
          </cell>
          <cell r="B492" t="str">
            <v>Kohani</v>
          </cell>
        </row>
        <row r="493">
          <cell r="A493" t="str">
            <v>RICHTER, STEVEN</v>
          </cell>
          <cell r="B493" t="str">
            <v>Vollmer</v>
          </cell>
        </row>
        <row r="494">
          <cell r="A494" t="str">
            <v>Rios, Pablo</v>
          </cell>
          <cell r="B494" t="str">
            <v>Estok</v>
          </cell>
        </row>
        <row r="495">
          <cell r="A495" t="str">
            <v>RIVAS, JOSE</v>
          </cell>
          <cell r="B495" t="str">
            <v>Blanck</v>
          </cell>
        </row>
        <row r="496">
          <cell r="A496" t="str">
            <v>Rocco, Anthony</v>
          </cell>
          <cell r="B496" t="str">
            <v>Carmichael</v>
          </cell>
        </row>
        <row r="497">
          <cell r="A497" t="str">
            <v>RODEZ, JEREMY</v>
          </cell>
          <cell r="B497" t="str">
            <v>Fuller</v>
          </cell>
        </row>
        <row r="498">
          <cell r="A498" t="str">
            <v>Ruder, David</v>
          </cell>
          <cell r="B498" t="str">
            <v>Vollmer</v>
          </cell>
        </row>
        <row r="499">
          <cell r="A499" t="str">
            <v>SANCHEZ, HECTOR</v>
          </cell>
          <cell r="B499" t="str">
            <v>Estok</v>
          </cell>
        </row>
        <row r="500">
          <cell r="A500" t="str">
            <v>Sherrill, Ron</v>
          </cell>
          <cell r="B500" t="str">
            <v>Vollmer</v>
          </cell>
        </row>
        <row r="501">
          <cell r="A501" t="str">
            <v>Skaggs, Bill</v>
          </cell>
          <cell r="B501" t="str">
            <v>Darragh</v>
          </cell>
        </row>
        <row r="502">
          <cell r="A502" t="str">
            <v>Stewart, Wendy</v>
          </cell>
          <cell r="B502" t="str">
            <v>Aldous,Shehab</v>
          </cell>
        </row>
        <row r="503">
          <cell r="A503" t="str">
            <v>Stone, Brian</v>
          </cell>
          <cell r="B503" t="str">
            <v>Goldsmith</v>
          </cell>
        </row>
        <row r="504">
          <cell r="A504" t="str">
            <v>Tapia,Clarissa Y.</v>
          </cell>
          <cell r="B504" t="str">
            <v>Vollmer</v>
          </cell>
        </row>
        <row r="505">
          <cell r="A505" t="str">
            <v>Tautimez,Esteban R.</v>
          </cell>
          <cell r="B505" t="str">
            <v>Pazzi/Goldsmith</v>
          </cell>
        </row>
        <row r="506">
          <cell r="A506" t="str">
            <v>Testo, Thad</v>
          </cell>
          <cell r="B506" t="str">
            <v>Ditmanson</v>
          </cell>
        </row>
        <row r="507">
          <cell r="A507" t="str">
            <v>Tull, Yolanda</v>
          </cell>
          <cell r="B507" t="str">
            <v>Goldsmith</v>
          </cell>
        </row>
        <row r="508">
          <cell r="A508" t="str">
            <v>Villa, Frances</v>
          </cell>
          <cell r="B508" t="str">
            <v>Rogers</v>
          </cell>
        </row>
        <row r="509">
          <cell r="A509" t="str">
            <v>Wichapa, Valerie</v>
          </cell>
          <cell r="B509" t="str">
            <v>Vollmer</v>
          </cell>
        </row>
        <row r="510">
          <cell r="A510" t="str">
            <v>Wilkins, Jason</v>
          </cell>
          <cell r="B510" t="str">
            <v>Vollmer</v>
          </cell>
        </row>
        <row r="511">
          <cell r="A511" t="str">
            <v>Williams, Cynthia</v>
          </cell>
          <cell r="B511" t="str">
            <v>Goldsmith</v>
          </cell>
        </row>
        <row r="512">
          <cell r="A512" t="str">
            <v>Williams, Julius</v>
          </cell>
          <cell r="B512" t="str">
            <v>Goldsmith</v>
          </cell>
        </row>
        <row r="513">
          <cell r="A513" t="str">
            <v>Williams, Tracey S.</v>
          </cell>
          <cell r="B513" t="str">
            <v>Siwik</v>
          </cell>
        </row>
        <row r="514">
          <cell r="A514" t="str">
            <v>WILLIAMSON, JEFFREY</v>
          </cell>
          <cell r="B514" t="str">
            <v>Goldsmith</v>
          </cell>
        </row>
        <row r="515">
          <cell r="A515" t="str">
            <v>WILSON, STEVEN</v>
          </cell>
          <cell r="B515" t="str">
            <v>Klotz</v>
          </cell>
        </row>
        <row r="516">
          <cell r="A516" t="str">
            <v>Young, Randall</v>
          </cell>
          <cell r="B516" t="str">
            <v>Goldsmith</v>
          </cell>
        </row>
        <row r="522">
          <cell r="A522" t="str">
            <v>0001</v>
          </cell>
          <cell r="B522" t="str">
            <v>QE 0003</v>
          </cell>
        </row>
        <row r="523">
          <cell r="A523" t="str">
            <v>0002</v>
          </cell>
          <cell r="B523" t="str">
            <v>QE 0003</v>
          </cell>
        </row>
        <row r="524">
          <cell r="A524" t="str">
            <v>0003</v>
          </cell>
          <cell r="B524" t="str">
            <v>QE 0003</v>
          </cell>
        </row>
        <row r="525">
          <cell r="A525" t="str">
            <v>0004</v>
          </cell>
          <cell r="B525" t="str">
            <v>QE 0006</v>
          </cell>
        </row>
        <row r="526">
          <cell r="A526" t="str">
            <v>0005</v>
          </cell>
          <cell r="B526" t="str">
            <v>QE 0006</v>
          </cell>
        </row>
        <row r="527">
          <cell r="A527" t="str">
            <v>0006</v>
          </cell>
          <cell r="B527" t="str">
            <v>QE 0006</v>
          </cell>
        </row>
        <row r="528">
          <cell r="A528" t="str">
            <v>0007</v>
          </cell>
          <cell r="B528" t="str">
            <v>QE 0009</v>
          </cell>
        </row>
        <row r="529">
          <cell r="A529" t="str">
            <v>0008</v>
          </cell>
          <cell r="B529" t="str">
            <v>QE 0009</v>
          </cell>
        </row>
        <row r="530">
          <cell r="A530" t="str">
            <v>0009</v>
          </cell>
          <cell r="B530" t="str">
            <v>QE 0009</v>
          </cell>
        </row>
        <row r="531">
          <cell r="A531" t="str">
            <v>0010</v>
          </cell>
          <cell r="B531" t="str">
            <v>QE 0012</v>
          </cell>
        </row>
        <row r="532">
          <cell r="A532" t="str">
            <v>0011</v>
          </cell>
          <cell r="B532" t="str">
            <v>QE 0012</v>
          </cell>
        </row>
        <row r="533">
          <cell r="A533" t="str">
            <v>0012</v>
          </cell>
          <cell r="B533" t="str">
            <v>QE 0012</v>
          </cell>
        </row>
        <row r="534">
          <cell r="A534" t="str">
            <v>0101</v>
          </cell>
          <cell r="B534" t="str">
            <v>QE 0103</v>
          </cell>
        </row>
        <row r="535">
          <cell r="A535" t="str">
            <v>0102</v>
          </cell>
          <cell r="B535" t="str">
            <v>QE 0103</v>
          </cell>
        </row>
        <row r="536">
          <cell r="A536" t="str">
            <v>0103</v>
          </cell>
          <cell r="B536" t="str">
            <v>QE 0103</v>
          </cell>
        </row>
        <row r="537">
          <cell r="A537" t="str">
            <v>0104</v>
          </cell>
          <cell r="B537" t="str">
            <v>QE 0106</v>
          </cell>
        </row>
        <row r="538">
          <cell r="A538" t="str">
            <v>0105</v>
          </cell>
          <cell r="B538" t="str">
            <v>QE 0106</v>
          </cell>
        </row>
        <row r="539">
          <cell r="A539" t="str">
            <v>0106</v>
          </cell>
          <cell r="B539" t="str">
            <v>QE 0106</v>
          </cell>
        </row>
        <row r="540">
          <cell r="A540" t="str">
            <v>0107</v>
          </cell>
          <cell r="B540" t="str">
            <v>QE 0109</v>
          </cell>
        </row>
        <row r="541">
          <cell r="A541" t="str">
            <v>0108</v>
          </cell>
          <cell r="B541" t="str">
            <v>QE 0109</v>
          </cell>
        </row>
        <row r="542">
          <cell r="A542" t="str">
            <v>0109</v>
          </cell>
          <cell r="B542" t="str">
            <v>QE 0109</v>
          </cell>
        </row>
        <row r="543">
          <cell r="A543" t="str">
            <v>0110</v>
          </cell>
          <cell r="B543" t="str">
            <v>QE 0112</v>
          </cell>
        </row>
        <row r="544">
          <cell r="A544" t="str">
            <v>0111</v>
          </cell>
          <cell r="B544" t="str">
            <v>QE 0112</v>
          </cell>
        </row>
        <row r="545">
          <cell r="A545" t="str">
            <v>0112</v>
          </cell>
          <cell r="B545" t="str">
            <v>QE 0112</v>
          </cell>
        </row>
        <row r="546">
          <cell r="A546" t="str">
            <v>0201</v>
          </cell>
          <cell r="B546" t="str">
            <v>QE 0203</v>
          </cell>
        </row>
        <row r="547">
          <cell r="A547" t="str">
            <v>0202</v>
          </cell>
          <cell r="B547" t="str">
            <v>QE 0203</v>
          </cell>
        </row>
        <row r="548">
          <cell r="A548" t="str">
            <v>0203</v>
          </cell>
          <cell r="B548" t="str">
            <v>QE 0203</v>
          </cell>
        </row>
        <row r="549">
          <cell r="A549" t="str">
            <v>0204</v>
          </cell>
          <cell r="B549" t="str">
            <v>QE 0206</v>
          </cell>
        </row>
        <row r="550">
          <cell r="A550" t="str">
            <v>0205</v>
          </cell>
          <cell r="B550" t="str">
            <v>QE 0206</v>
          </cell>
        </row>
        <row r="551">
          <cell r="A551" t="str">
            <v>0206</v>
          </cell>
          <cell r="B551" t="str">
            <v>QE 0206</v>
          </cell>
        </row>
        <row r="552">
          <cell r="A552" t="str">
            <v>0207</v>
          </cell>
          <cell r="B552" t="str">
            <v>QE 0209</v>
          </cell>
        </row>
        <row r="553">
          <cell r="A553" t="str">
            <v>0208</v>
          </cell>
          <cell r="B553" t="str">
            <v>QE 0209</v>
          </cell>
        </row>
        <row r="554">
          <cell r="A554" t="str">
            <v>0209</v>
          </cell>
          <cell r="B554" t="str">
            <v>QE 0209</v>
          </cell>
        </row>
        <row r="555">
          <cell r="A555" t="str">
            <v>0210</v>
          </cell>
          <cell r="B555" t="str">
            <v>QE 0212</v>
          </cell>
        </row>
        <row r="556">
          <cell r="A556" t="str">
            <v>0211</v>
          </cell>
          <cell r="B556" t="str">
            <v>QE 0212</v>
          </cell>
        </row>
        <row r="557">
          <cell r="A557" t="str">
            <v>0212</v>
          </cell>
          <cell r="B557" t="str">
            <v>QE 0212</v>
          </cell>
        </row>
        <row r="558">
          <cell r="A558" t="str">
            <v>0301</v>
          </cell>
          <cell r="B558" t="str">
            <v>QE 0303</v>
          </cell>
        </row>
        <row r="559">
          <cell r="A559" t="str">
            <v>0302</v>
          </cell>
          <cell r="B559" t="str">
            <v>QE 0303</v>
          </cell>
        </row>
        <row r="560">
          <cell r="A560" t="str">
            <v>0303</v>
          </cell>
          <cell r="B560" t="str">
            <v>QE 0303</v>
          </cell>
        </row>
        <row r="561">
          <cell r="A561" t="str">
            <v>0304</v>
          </cell>
          <cell r="B561" t="str">
            <v>QE 0306</v>
          </cell>
        </row>
        <row r="562">
          <cell r="A562" t="str">
            <v>0305</v>
          </cell>
          <cell r="B562" t="str">
            <v>QE 0306</v>
          </cell>
        </row>
        <row r="563">
          <cell r="A563" t="str">
            <v>0306</v>
          </cell>
          <cell r="B563" t="str">
            <v>QE 0306</v>
          </cell>
        </row>
        <row r="564">
          <cell r="A564" t="str">
            <v>0307</v>
          </cell>
          <cell r="B564" t="str">
            <v>QE 0309</v>
          </cell>
        </row>
        <row r="565">
          <cell r="A565" t="str">
            <v>0308</v>
          </cell>
          <cell r="B565" t="str">
            <v>QE 0309</v>
          </cell>
        </row>
        <row r="566">
          <cell r="A566" t="str">
            <v>0309</v>
          </cell>
          <cell r="B566" t="str">
            <v>QE 0309</v>
          </cell>
        </row>
        <row r="567">
          <cell r="A567" t="str">
            <v>0310</v>
          </cell>
          <cell r="B567" t="str">
            <v>QE 0312</v>
          </cell>
        </row>
        <row r="568">
          <cell r="A568" t="str">
            <v>0311</v>
          </cell>
          <cell r="B568" t="str">
            <v>QE 0312</v>
          </cell>
        </row>
        <row r="569">
          <cell r="A569" t="str">
            <v>0312</v>
          </cell>
          <cell r="B569" t="str">
            <v>QE 0312</v>
          </cell>
        </row>
        <row r="570">
          <cell r="A570" t="str">
            <v>0401</v>
          </cell>
          <cell r="B570" t="str">
            <v>update table</v>
          </cell>
        </row>
        <row r="571">
          <cell r="A571" t="str">
            <v>9411</v>
          </cell>
          <cell r="B571" t="str">
            <v>QE 9412</v>
          </cell>
        </row>
        <row r="572">
          <cell r="A572" t="str">
            <v>9901</v>
          </cell>
          <cell r="B572" t="str">
            <v>QE 9903</v>
          </cell>
        </row>
        <row r="573">
          <cell r="A573" t="str">
            <v>9902</v>
          </cell>
          <cell r="B573" t="str">
            <v>QE 9903</v>
          </cell>
        </row>
        <row r="574">
          <cell r="A574" t="str">
            <v>9903</v>
          </cell>
          <cell r="B574" t="str">
            <v>QE 9903</v>
          </cell>
        </row>
        <row r="575">
          <cell r="A575" t="str">
            <v>9904</v>
          </cell>
          <cell r="B575" t="str">
            <v>QE 9906</v>
          </cell>
        </row>
        <row r="576">
          <cell r="A576" t="str">
            <v>9905</v>
          </cell>
          <cell r="B576" t="str">
            <v>QE 9906</v>
          </cell>
        </row>
        <row r="577">
          <cell r="A577" t="str">
            <v>9906</v>
          </cell>
          <cell r="B577" t="str">
            <v>QE 9906</v>
          </cell>
        </row>
        <row r="578">
          <cell r="A578" t="str">
            <v>9907</v>
          </cell>
          <cell r="B578" t="str">
            <v>QE 9909</v>
          </cell>
        </row>
        <row r="579">
          <cell r="A579" t="str">
            <v>9908</v>
          </cell>
          <cell r="B579" t="str">
            <v>QE 9909</v>
          </cell>
        </row>
        <row r="580">
          <cell r="A580" t="str">
            <v>9909</v>
          </cell>
          <cell r="B580" t="str">
            <v>QE 9909</v>
          </cell>
        </row>
        <row r="581">
          <cell r="A581" t="str">
            <v>9910</v>
          </cell>
          <cell r="B581" t="str">
            <v>QE 9912</v>
          </cell>
        </row>
        <row r="582">
          <cell r="A582" t="str">
            <v>9911</v>
          </cell>
          <cell r="B582" t="str">
            <v>QE 9912</v>
          </cell>
        </row>
        <row r="583">
          <cell r="A583" t="str">
            <v>9912</v>
          </cell>
          <cell r="B583" t="str">
            <v>QE 9912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4"/>
      <sheetName val="Sheet1"/>
      <sheetName val="Sheet5"/>
      <sheetName val="Sheet3"/>
      <sheetName val="Quarterly Crosswalk Reference"/>
    </sheetNames>
    <definedNames>
      <definedName name="Dates"/>
    </defined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11A_old"/>
      <sheetName val="RPT 11B_old"/>
      <sheetName val="RPT 11C_old"/>
      <sheetName val="Macros"/>
      <sheetName val="Lookup Info"/>
      <sheetName val="VentDepData"/>
      <sheetName val="DistData"/>
      <sheetName val="RPT2DAT"/>
      <sheetName val="RPT11 by County (Q1)"/>
      <sheetName val="RPT11 Combined (Q1)"/>
      <sheetName val="RPT11 by County (Q2)"/>
      <sheetName val="RPT11 Combined (Q2)"/>
      <sheetName val="RPT11 by County (Q3)"/>
      <sheetName val="RPT11 Combined (Q3)"/>
      <sheetName val="RPT11 by County (Q4)"/>
      <sheetName val="RPT11 Combined (Q4)"/>
      <sheetName val="RPT10_Q1"/>
      <sheetName val="RPT10_Q2"/>
      <sheetName val="RPT10_Q3"/>
      <sheetName val="RPT10_Q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11A_old"/>
      <sheetName val="RPT 11B_old"/>
      <sheetName val="RPT 11C_old"/>
      <sheetName val="Macros"/>
      <sheetName val="Lookup Info"/>
      <sheetName val="VentDepData"/>
      <sheetName val="DistData"/>
      <sheetName val="RPT2DAT"/>
      <sheetName val="RPT11 by County (Q1)"/>
      <sheetName val="RPT11 Combined (Q1)"/>
      <sheetName val="RPT11 by County (Q2)"/>
      <sheetName val="RPT11 Combined (Q2)"/>
      <sheetName val="RPT11 by County (Q3)"/>
      <sheetName val="RPT11 Combined (Q3)"/>
      <sheetName val="RPT11 by County (Q4)"/>
      <sheetName val="RPT11 Combined (Q4)"/>
      <sheetName val="RPT10_Q1"/>
      <sheetName val="RPT10_Q2"/>
      <sheetName val="RPT10_Q3"/>
      <sheetName val="RPT10_Q4"/>
    </sheetNames>
    <sheetDataSet>
      <sheetData sheetId="0" refreshError="1">
        <row r="4">
          <cell r="A4" t="str">
            <v>Program Contractor Financial Reporting Systems - Report #11A Utilization Data Report by County</v>
          </cell>
          <cell r="I4" t="str">
            <v>Program Contractor Financial Reporting Systems - Report #11A Utilization Data Report by County</v>
          </cell>
          <cell r="Q4" t="str">
            <v>Program Contractor Financial Reporting Systems - Report #11A Utilization Data Report by County</v>
          </cell>
          <cell r="Y4" t="str">
            <v>Program Contractor Financial Reporting Systems - Report #11A Utilization Data Report by County</v>
          </cell>
          <cell r="AG4" t="str">
            <v>Program Contractor Financial Reporting Systems - Report #11A Utilization Data Report by County</v>
          </cell>
          <cell r="AO4" t="str">
            <v>Program Contractor Financial Reporting Systems - Report #11A Utilization Data Report by County</v>
          </cell>
          <cell r="AW4" t="str">
            <v>Program Contractor Financial Reporting Systems - Report #11A Utilization Data Report by County</v>
          </cell>
        </row>
        <row r="6">
          <cell r="A6" t="str">
            <v>Statement for Program Contractor 110049 - Evercare of Arizona, Inc.</v>
          </cell>
          <cell r="F6" t="str">
            <v>County:</v>
          </cell>
          <cell r="G6" t="str">
            <v>Apache</v>
          </cell>
          <cell r="I6" t="str">
            <v>Statement for Program Contractor 110049 - Evercare of Arizona, Inc.</v>
          </cell>
          <cell r="N6" t="str">
            <v>County:</v>
          </cell>
          <cell r="O6" t="str">
            <v>Coconino</v>
          </cell>
          <cell r="Q6" t="str">
            <v>Statement for Program Contractor 110049 - Evercare of Arizona, Inc.</v>
          </cell>
          <cell r="V6" t="str">
            <v>County:</v>
          </cell>
          <cell r="W6" t="str">
            <v>La Paz</v>
          </cell>
          <cell r="Y6" t="str">
            <v>Statement for Program Contractor 110049 - Evercare of Arizona, Inc.</v>
          </cell>
          <cell r="AD6" t="str">
            <v>County:</v>
          </cell>
          <cell r="AE6" t="str">
            <v>Maricopa</v>
          </cell>
          <cell r="AG6" t="str">
            <v>Statement for Program Contractor 110049 - Evercare of Arizona, Inc.</v>
          </cell>
          <cell r="AL6" t="str">
            <v>County:</v>
          </cell>
          <cell r="AM6" t="str">
            <v>Mohave</v>
          </cell>
          <cell r="AO6" t="str">
            <v>Statement for Program Contractor 110049 - Evercare of Arizona, Inc.</v>
          </cell>
          <cell r="AT6" t="str">
            <v>County:</v>
          </cell>
          <cell r="AU6" t="str">
            <v>Navajo</v>
          </cell>
          <cell r="AW6" t="str">
            <v>Statement for Program Contractor 110049 - Evercare of Arizona, Inc.</v>
          </cell>
          <cell r="BB6" t="str">
            <v>County:</v>
          </cell>
          <cell r="BC6" t="str">
            <v>Yuma</v>
          </cell>
        </row>
        <row r="8">
          <cell r="A8" t="str">
            <v>For the Month ending 10/31/2005 in the Fiscal Year ending 9/30/2006</v>
          </cell>
          <cell r="F8" t="str">
            <v>Page 1 of 21</v>
          </cell>
          <cell r="I8" t="str">
            <v>For the Month ending 10/31/2005 in the Fiscal Year ending 9/30/2006</v>
          </cell>
          <cell r="N8" t="str">
            <v>Page 4 of 21</v>
          </cell>
          <cell r="Q8" t="str">
            <v>For the Month ending 10/31/2005 in the Fiscal Year ending 9/30/2006</v>
          </cell>
          <cell r="V8" t="str">
            <v>Page 7 of 21</v>
          </cell>
          <cell r="Y8" t="str">
            <v>For the Month ending 10/31/2005 in the Fiscal Year ending 9/30/2006</v>
          </cell>
          <cell r="AD8" t="str">
            <v>Page 10 of 21</v>
          </cell>
          <cell r="AG8" t="str">
            <v>For the Month ending 10/31/2005 in the Fiscal Year ending 9/30/2006</v>
          </cell>
          <cell r="AL8" t="str">
            <v>Page 13 of 21</v>
          </cell>
          <cell r="AO8" t="str">
            <v>For the Month ending 10/31/2005 in the Fiscal Year ending 9/30/2006</v>
          </cell>
          <cell r="AT8" t="str">
            <v>Page 16 of 21</v>
          </cell>
          <cell r="AW8" t="str">
            <v>For the Month ending 10/31/2005 in the Fiscal Year ending 9/30/2006</v>
          </cell>
          <cell r="BB8" t="str">
            <v>Page 19 of 21</v>
          </cell>
        </row>
        <row r="11">
          <cell r="A11" t="str">
            <v>Utilization Data Report by County</v>
          </cell>
          <cell r="I11" t="str">
            <v>Utilization Data Report by County</v>
          </cell>
          <cell r="Q11" t="str">
            <v>Utilization Data Report by County</v>
          </cell>
          <cell r="Y11" t="str">
            <v>Utilization Data Report by County</v>
          </cell>
          <cell r="AG11" t="str">
            <v>Utilization Data Report by County</v>
          </cell>
          <cell r="AO11" t="str">
            <v>Utilization Data Report by County</v>
          </cell>
          <cell r="AW11" t="str">
            <v>Utilization Data Report by County</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cell r="AH13" t="str">
            <v>MEDICARE</v>
          </cell>
          <cell r="AJ13" t="str">
            <v>NON-MEDICARE</v>
          </cell>
          <cell r="AL13" t="str">
            <v>TOTAL</v>
          </cell>
          <cell r="AP13" t="str">
            <v>MEDICARE</v>
          </cell>
          <cell r="AR13" t="str">
            <v>NON-MEDICARE</v>
          </cell>
          <cell r="AT13" t="str">
            <v>TOTAL</v>
          </cell>
          <cell r="AX13" t="str">
            <v>MEDICARE</v>
          </cell>
          <cell r="AZ13" t="str">
            <v>NON-MEDICARE</v>
          </cell>
          <cell r="BB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cell r="AG14" t="str">
            <v>ITEM DESCRIPTION</v>
          </cell>
          <cell r="AH14" t="str">
            <v>Current</v>
          </cell>
          <cell r="AJ14" t="str">
            <v>Current</v>
          </cell>
          <cell r="AL14" t="str">
            <v>Current</v>
          </cell>
          <cell r="AO14" t="str">
            <v>ITEM DESCRIPTION</v>
          </cell>
          <cell r="AP14" t="str">
            <v>Current</v>
          </cell>
          <cell r="AR14" t="str">
            <v>Current</v>
          </cell>
          <cell r="AT14" t="str">
            <v>Current</v>
          </cell>
          <cell r="AW14" t="str">
            <v>ITEM DESCRIPTION</v>
          </cell>
          <cell r="AX14" t="str">
            <v>Current</v>
          </cell>
          <cell r="AZ14" t="str">
            <v>Current</v>
          </cell>
          <cell r="BB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cell r="AH15" t="str">
            <v>Period</v>
          </cell>
          <cell r="AI15" t="str">
            <v>YTD</v>
          </cell>
          <cell r="AJ15" t="str">
            <v>Period</v>
          </cell>
          <cell r="AK15" t="str">
            <v>YTD</v>
          </cell>
          <cell r="AL15" t="str">
            <v>Period</v>
          </cell>
          <cell r="AM15" t="str">
            <v>YTD</v>
          </cell>
          <cell r="AP15" t="str">
            <v>Period</v>
          </cell>
          <cell r="AQ15" t="str">
            <v>YTD</v>
          </cell>
          <cell r="AR15" t="str">
            <v>Period</v>
          </cell>
          <cell r="AS15" t="str">
            <v>YTD</v>
          </cell>
          <cell r="AT15" t="str">
            <v>Period</v>
          </cell>
          <cell r="AU15" t="str">
            <v>YTD</v>
          </cell>
          <cell r="AX15" t="str">
            <v>Period</v>
          </cell>
          <cell r="AY15" t="str">
            <v>YTD</v>
          </cell>
          <cell r="AZ15" t="str">
            <v>Period</v>
          </cell>
          <cell r="BA15" t="str">
            <v>YTD</v>
          </cell>
          <cell r="BB15" t="str">
            <v>Period</v>
          </cell>
          <cell r="BC15" t="str">
            <v>YTD</v>
          </cell>
        </row>
        <row r="16">
          <cell r="A16" t="str">
            <v>A.   Enrollees (At End of Period)</v>
          </cell>
          <cell r="B16">
            <v>60</v>
          </cell>
          <cell r="D16">
            <v>19</v>
          </cell>
          <cell r="F16">
            <v>79</v>
          </cell>
          <cell r="I16" t="str">
            <v>A.   Enrollees (At End of Period)</v>
          </cell>
          <cell r="J16">
            <v>148</v>
          </cell>
          <cell r="L16">
            <v>35</v>
          </cell>
          <cell r="N16">
            <v>183</v>
          </cell>
          <cell r="Q16" t="str">
            <v>A.   Enrollees (At End of Period)</v>
          </cell>
          <cell r="R16">
            <v>63</v>
          </cell>
          <cell r="T16">
            <v>5</v>
          </cell>
          <cell r="V16">
            <v>68</v>
          </cell>
          <cell r="Y16" t="str">
            <v>A.   Enrollees (At End of Period)</v>
          </cell>
          <cell r="Z16">
            <v>4538</v>
          </cell>
          <cell r="AB16">
            <v>641</v>
          </cell>
          <cell r="AD16">
            <v>5179</v>
          </cell>
          <cell r="AG16" t="str">
            <v>A.   Enrollees (At End of Period)</v>
          </cell>
          <cell r="AH16">
            <v>705</v>
          </cell>
          <cell r="AJ16">
            <v>104</v>
          </cell>
          <cell r="AL16">
            <v>809</v>
          </cell>
          <cell r="AO16" t="str">
            <v>A.   Enrollees (At End of Period)</v>
          </cell>
          <cell r="AP16">
            <v>173</v>
          </cell>
          <cell r="AR16">
            <v>47</v>
          </cell>
          <cell r="AT16">
            <v>220</v>
          </cell>
          <cell r="AW16" t="str">
            <v>A.   Enrollees (At End of Period)</v>
          </cell>
          <cell r="AX16">
            <v>506</v>
          </cell>
          <cell r="AZ16">
            <v>101</v>
          </cell>
          <cell r="BB16">
            <v>607</v>
          </cell>
        </row>
        <row r="18">
          <cell r="A18" t="str">
            <v>B.   Member Months (Unduplicated)</v>
          </cell>
          <cell r="B18">
            <v>73.736699999999999</v>
          </cell>
          <cell r="C18">
            <v>73.736699999999999</v>
          </cell>
          <cell r="D18">
            <v>20.83</v>
          </cell>
          <cell r="E18">
            <v>20.83</v>
          </cell>
          <cell r="F18">
            <v>94.566699999999997</v>
          </cell>
          <cell r="G18">
            <v>94.566699999999997</v>
          </cell>
          <cell r="I18" t="str">
            <v>B.   Member Months (Unduplicated)</v>
          </cell>
          <cell r="J18">
            <v>214.04930000000002</v>
          </cell>
          <cell r="K18">
            <v>214.04930000000002</v>
          </cell>
          <cell r="L18">
            <v>38.000000000000007</v>
          </cell>
          <cell r="M18">
            <v>38.000000000000007</v>
          </cell>
          <cell r="N18">
            <v>252.04930000000002</v>
          </cell>
          <cell r="O18">
            <v>252.04930000000002</v>
          </cell>
          <cell r="Q18" t="str">
            <v>B.   Member Months (Unduplicated)</v>
          </cell>
          <cell r="R18">
            <v>86.511899999999997</v>
          </cell>
          <cell r="S18">
            <v>86.511899999999997</v>
          </cell>
          <cell r="T18">
            <v>6</v>
          </cell>
          <cell r="U18">
            <v>6</v>
          </cell>
          <cell r="V18">
            <v>92.511899999999997</v>
          </cell>
          <cell r="W18">
            <v>92.511899999999997</v>
          </cell>
          <cell r="Y18" t="str">
            <v>B.   Member Months (Unduplicated)</v>
          </cell>
          <cell r="Z18">
            <v>3912.1677000000022</v>
          </cell>
          <cell r="AA18">
            <v>3912.1677000000022</v>
          </cell>
          <cell r="AB18">
            <v>747.37860000000012</v>
          </cell>
          <cell r="AC18">
            <v>747.37860000000012</v>
          </cell>
          <cell r="AD18">
            <v>4659.5463000000027</v>
          </cell>
          <cell r="AE18">
            <v>4659.5463000000027</v>
          </cell>
          <cell r="AG18" t="str">
            <v>B.   Member Months (Unduplicated)</v>
          </cell>
          <cell r="AH18">
            <v>1021.5384</v>
          </cell>
          <cell r="AI18">
            <v>1021.5384</v>
          </cell>
          <cell r="AJ18">
            <v>135.12</v>
          </cell>
          <cell r="AK18">
            <v>135.12</v>
          </cell>
          <cell r="AL18">
            <v>1156.6584</v>
          </cell>
          <cell r="AM18">
            <v>1156.6584</v>
          </cell>
          <cell r="AO18" t="str">
            <v>B.   Member Months (Unduplicated)</v>
          </cell>
          <cell r="AP18">
            <v>234.21489999999994</v>
          </cell>
          <cell r="AQ18">
            <v>234.21489999999994</v>
          </cell>
          <cell r="AR18">
            <v>53.652299999999997</v>
          </cell>
          <cell r="AS18">
            <v>53.652299999999997</v>
          </cell>
          <cell r="AT18">
            <v>287.86719999999991</v>
          </cell>
          <cell r="AU18">
            <v>287.86719999999991</v>
          </cell>
          <cell r="AW18" t="str">
            <v>B.   Member Months (Unduplicated)</v>
          </cell>
          <cell r="AX18">
            <v>678.46019999999999</v>
          </cell>
          <cell r="AY18">
            <v>678.46019999999999</v>
          </cell>
          <cell r="AZ18">
            <v>130.10999999999999</v>
          </cell>
          <cell r="BA18">
            <v>130.10999999999999</v>
          </cell>
          <cell r="BB18">
            <v>808.5702</v>
          </cell>
          <cell r="BC18">
            <v>808.5702</v>
          </cell>
        </row>
        <row r="19">
          <cell r="A19" t="str">
            <v xml:space="preserve">   Institutional Member Months Total</v>
          </cell>
          <cell r="B19">
            <v>3.9</v>
          </cell>
          <cell r="C19">
            <v>3.9</v>
          </cell>
          <cell r="D19">
            <v>4.5600000000000005</v>
          </cell>
          <cell r="E19">
            <v>4.5600000000000005</v>
          </cell>
          <cell r="F19">
            <v>8.4600000000000009</v>
          </cell>
          <cell r="G19">
            <v>8.4600000000000009</v>
          </cell>
          <cell r="I19" t="str">
            <v xml:space="preserve">   Institutional Member Months Total</v>
          </cell>
          <cell r="J19">
            <v>78.400000000000006</v>
          </cell>
          <cell r="K19">
            <v>78.400000000000006</v>
          </cell>
          <cell r="L19">
            <v>4</v>
          </cell>
          <cell r="M19">
            <v>4</v>
          </cell>
          <cell r="N19">
            <v>82.4</v>
          </cell>
          <cell r="O19">
            <v>82.4</v>
          </cell>
          <cell r="Q19" t="str">
            <v xml:space="preserve">   Institutional Member Months Total</v>
          </cell>
          <cell r="R19">
            <v>49.29</v>
          </cell>
          <cell r="S19">
            <v>49.29</v>
          </cell>
          <cell r="T19">
            <v>1</v>
          </cell>
          <cell r="U19">
            <v>1</v>
          </cell>
          <cell r="V19">
            <v>50.29</v>
          </cell>
          <cell r="W19">
            <v>50.29</v>
          </cell>
          <cell r="Y19" t="str">
            <v xml:space="preserve">   Institutional Member Months Total</v>
          </cell>
          <cell r="Z19">
            <v>2188.7399999999998</v>
          </cell>
          <cell r="AA19">
            <v>2188.7399999999998</v>
          </cell>
          <cell r="AB19">
            <v>172.56</v>
          </cell>
          <cell r="AC19">
            <v>172.56</v>
          </cell>
          <cell r="AD19">
            <v>2361.2999999999997</v>
          </cell>
          <cell r="AE19">
            <v>2361.2999999999997</v>
          </cell>
          <cell r="AG19" t="str">
            <v xml:space="preserve">   Institutional Member Months Total</v>
          </cell>
          <cell r="AH19">
            <v>562.5</v>
          </cell>
          <cell r="AI19">
            <v>562.5</v>
          </cell>
          <cell r="AJ19">
            <v>37.57</v>
          </cell>
          <cell r="AK19">
            <v>37.57</v>
          </cell>
          <cell r="AL19">
            <v>600.07000000000005</v>
          </cell>
          <cell r="AM19">
            <v>600.07000000000005</v>
          </cell>
          <cell r="AO19" t="str">
            <v xml:space="preserve">   Institutional Member Months Total</v>
          </cell>
          <cell r="AP19">
            <v>43.29</v>
          </cell>
          <cell r="AQ19">
            <v>43.29</v>
          </cell>
          <cell r="AR19">
            <v>9.26</v>
          </cell>
          <cell r="AS19">
            <v>9.26</v>
          </cell>
          <cell r="AT19">
            <v>52.55</v>
          </cell>
          <cell r="AU19">
            <v>52.55</v>
          </cell>
          <cell r="AW19" t="str">
            <v xml:space="preserve">   Institutional Member Months Total</v>
          </cell>
          <cell r="AX19">
            <v>358.78</v>
          </cell>
          <cell r="AY19">
            <v>358.78</v>
          </cell>
          <cell r="AZ19">
            <v>41.32</v>
          </cell>
          <cell r="BA19">
            <v>41.32</v>
          </cell>
          <cell r="BB19">
            <v>400.09999999999997</v>
          </cell>
          <cell r="BC19">
            <v>400.09999999999997</v>
          </cell>
        </row>
        <row r="20">
          <cell r="A20" t="str">
            <v xml:space="preserve">   1.  Level I</v>
          </cell>
          <cell r="B20">
            <v>2.5099999999999998</v>
          </cell>
          <cell r="C20">
            <v>2.5099999999999998</v>
          </cell>
          <cell r="D20">
            <v>3.56</v>
          </cell>
          <cell r="E20">
            <v>3.56</v>
          </cell>
          <cell r="F20">
            <v>6.07</v>
          </cell>
          <cell r="G20">
            <v>6.07</v>
          </cell>
          <cell r="I20" t="str">
            <v xml:space="preserve">   1.  Level I</v>
          </cell>
          <cell r="J20">
            <v>34.29</v>
          </cell>
          <cell r="K20">
            <v>34.29</v>
          </cell>
          <cell r="L20">
            <v>3</v>
          </cell>
          <cell r="M20">
            <v>3</v>
          </cell>
          <cell r="N20">
            <v>37.29</v>
          </cell>
          <cell r="O20">
            <v>37.29</v>
          </cell>
          <cell r="Q20" t="str">
            <v xml:space="preserve">   1.  Level I</v>
          </cell>
          <cell r="R20">
            <v>31.13</v>
          </cell>
          <cell r="S20">
            <v>31.13</v>
          </cell>
          <cell r="T20">
            <v>0</v>
          </cell>
          <cell r="U20">
            <v>0</v>
          </cell>
          <cell r="V20">
            <v>31.13</v>
          </cell>
          <cell r="W20">
            <v>31.13</v>
          </cell>
          <cell r="Y20" t="str">
            <v xml:space="preserve">   1.  Level I</v>
          </cell>
          <cell r="Z20">
            <v>1482.75</v>
          </cell>
          <cell r="AA20">
            <v>1482.75</v>
          </cell>
          <cell r="AB20">
            <v>107.76</v>
          </cell>
          <cell r="AC20">
            <v>107.76</v>
          </cell>
          <cell r="AD20">
            <v>1590.51</v>
          </cell>
          <cell r="AE20">
            <v>1590.51</v>
          </cell>
          <cell r="AG20" t="str">
            <v xml:space="preserve">   1.  Level I</v>
          </cell>
          <cell r="AH20">
            <v>253.15</v>
          </cell>
          <cell r="AI20">
            <v>253.15</v>
          </cell>
          <cell r="AJ20">
            <v>20.100000000000001</v>
          </cell>
          <cell r="AK20">
            <v>20.100000000000001</v>
          </cell>
          <cell r="AL20">
            <v>273.25</v>
          </cell>
          <cell r="AM20">
            <v>273.25</v>
          </cell>
          <cell r="AO20" t="str">
            <v xml:space="preserve">   1.  Level I</v>
          </cell>
          <cell r="AP20">
            <v>25.97</v>
          </cell>
          <cell r="AQ20">
            <v>25.97</v>
          </cell>
          <cell r="AR20">
            <v>8.26</v>
          </cell>
          <cell r="AS20">
            <v>8.26</v>
          </cell>
          <cell r="AT20">
            <v>34.229999999999997</v>
          </cell>
          <cell r="AU20">
            <v>34.229999999999997</v>
          </cell>
          <cell r="AW20" t="str">
            <v xml:space="preserve">   1.  Level I</v>
          </cell>
          <cell r="AX20">
            <v>189.66</v>
          </cell>
          <cell r="AY20">
            <v>189.66</v>
          </cell>
          <cell r="AZ20">
            <v>26.32</v>
          </cell>
          <cell r="BA20">
            <v>26.32</v>
          </cell>
          <cell r="BB20">
            <v>215.98</v>
          </cell>
          <cell r="BC20">
            <v>215.98</v>
          </cell>
        </row>
        <row r="21">
          <cell r="A21" t="str">
            <v xml:space="preserve">   2.  Level II</v>
          </cell>
          <cell r="B21">
            <v>1.23</v>
          </cell>
          <cell r="C21">
            <v>1.23</v>
          </cell>
          <cell r="D21">
            <v>1</v>
          </cell>
          <cell r="E21">
            <v>1</v>
          </cell>
          <cell r="F21">
            <v>2.23</v>
          </cell>
          <cell r="G21">
            <v>2.23</v>
          </cell>
          <cell r="I21" t="str">
            <v xml:space="preserve">   2.  Level II</v>
          </cell>
          <cell r="J21">
            <v>37.92</v>
          </cell>
          <cell r="K21">
            <v>37.92</v>
          </cell>
          <cell r="L21">
            <v>1</v>
          </cell>
          <cell r="M21">
            <v>1</v>
          </cell>
          <cell r="N21">
            <v>38.92</v>
          </cell>
          <cell r="O21">
            <v>38.92</v>
          </cell>
          <cell r="Q21" t="str">
            <v xml:space="preserve">   2.  Level II</v>
          </cell>
          <cell r="R21">
            <v>16.16</v>
          </cell>
          <cell r="S21">
            <v>16.16</v>
          </cell>
          <cell r="T21">
            <v>1</v>
          </cell>
          <cell r="U21">
            <v>1</v>
          </cell>
          <cell r="V21">
            <v>17.16</v>
          </cell>
          <cell r="W21">
            <v>17.16</v>
          </cell>
          <cell r="Y21" t="str">
            <v xml:space="preserve">   2.  Level II</v>
          </cell>
          <cell r="Z21">
            <v>619.53</v>
          </cell>
          <cell r="AA21">
            <v>619.53</v>
          </cell>
          <cell r="AB21">
            <v>48.51</v>
          </cell>
          <cell r="AC21">
            <v>48.51</v>
          </cell>
          <cell r="AD21">
            <v>668.04</v>
          </cell>
          <cell r="AE21">
            <v>668.04</v>
          </cell>
          <cell r="AG21" t="str">
            <v xml:space="preserve">   2.  Level II</v>
          </cell>
          <cell r="AH21">
            <v>254.12</v>
          </cell>
          <cell r="AI21">
            <v>254.12</v>
          </cell>
          <cell r="AJ21">
            <v>10.76</v>
          </cell>
          <cell r="AK21">
            <v>10.76</v>
          </cell>
          <cell r="AL21">
            <v>264.88</v>
          </cell>
          <cell r="AM21">
            <v>264.88</v>
          </cell>
          <cell r="AO21" t="str">
            <v xml:space="preserve">   2.  Level II</v>
          </cell>
          <cell r="AP21">
            <v>14.32</v>
          </cell>
          <cell r="AQ21">
            <v>14.32</v>
          </cell>
          <cell r="AR21">
            <v>1</v>
          </cell>
          <cell r="AS21">
            <v>1</v>
          </cell>
          <cell r="AT21">
            <v>15.32</v>
          </cell>
          <cell r="AU21">
            <v>15.32</v>
          </cell>
          <cell r="AW21" t="str">
            <v xml:space="preserve">   2.  Level II</v>
          </cell>
          <cell r="AX21">
            <v>149.41999999999999</v>
          </cell>
          <cell r="AY21">
            <v>149.41999999999999</v>
          </cell>
          <cell r="AZ21">
            <v>9</v>
          </cell>
          <cell r="BA21">
            <v>9</v>
          </cell>
          <cell r="BB21">
            <v>158.41999999999999</v>
          </cell>
          <cell r="BC21">
            <v>158.41999999999999</v>
          </cell>
        </row>
        <row r="22">
          <cell r="A22" t="str">
            <v xml:space="preserve">   3.  Level III</v>
          </cell>
          <cell r="B22">
            <v>0.16</v>
          </cell>
          <cell r="C22">
            <v>0.16</v>
          </cell>
          <cell r="D22">
            <v>0</v>
          </cell>
          <cell r="E22">
            <v>0</v>
          </cell>
          <cell r="F22">
            <v>0.16</v>
          </cell>
          <cell r="G22">
            <v>0.16</v>
          </cell>
          <cell r="I22" t="str">
            <v xml:space="preserve">   3.  Level III</v>
          </cell>
          <cell r="J22">
            <v>6.19</v>
          </cell>
          <cell r="K22">
            <v>6.19</v>
          </cell>
          <cell r="L22">
            <v>0</v>
          </cell>
          <cell r="M22">
            <v>0</v>
          </cell>
          <cell r="N22">
            <v>6.19</v>
          </cell>
          <cell r="O22">
            <v>6.19</v>
          </cell>
          <cell r="Q22" t="str">
            <v xml:space="preserve">   3.  Level III</v>
          </cell>
          <cell r="R22">
            <v>2</v>
          </cell>
          <cell r="S22">
            <v>2</v>
          </cell>
          <cell r="T22">
            <v>0</v>
          </cell>
          <cell r="U22">
            <v>0</v>
          </cell>
          <cell r="V22">
            <v>2</v>
          </cell>
          <cell r="W22">
            <v>2</v>
          </cell>
          <cell r="Y22" t="str">
            <v xml:space="preserve">   3.  Level III</v>
          </cell>
          <cell r="Z22">
            <v>86.43</v>
          </cell>
          <cell r="AA22">
            <v>86.43</v>
          </cell>
          <cell r="AB22">
            <v>11.23</v>
          </cell>
          <cell r="AC22">
            <v>11.23</v>
          </cell>
          <cell r="AD22">
            <v>97.660000000000011</v>
          </cell>
          <cell r="AE22">
            <v>97.660000000000011</v>
          </cell>
          <cell r="AG22" t="str">
            <v xml:space="preserve">   3.  Level III</v>
          </cell>
          <cell r="AH22">
            <v>55.23</v>
          </cell>
          <cell r="AI22">
            <v>55.23</v>
          </cell>
          <cell r="AJ22">
            <v>6.71</v>
          </cell>
          <cell r="AK22">
            <v>6.71</v>
          </cell>
          <cell r="AL22">
            <v>61.94</v>
          </cell>
          <cell r="AM22">
            <v>61.94</v>
          </cell>
          <cell r="AO22" t="str">
            <v xml:space="preserve">   3.  Level III</v>
          </cell>
          <cell r="AP22">
            <v>0</v>
          </cell>
          <cell r="AQ22">
            <v>0</v>
          </cell>
          <cell r="AR22">
            <v>0</v>
          </cell>
          <cell r="AS22">
            <v>0</v>
          </cell>
          <cell r="AT22">
            <v>0</v>
          </cell>
          <cell r="AU22">
            <v>0</v>
          </cell>
          <cell r="AW22" t="str">
            <v xml:space="preserve">   3.  Level III</v>
          </cell>
          <cell r="AX22">
            <v>19.7</v>
          </cell>
          <cell r="AY22">
            <v>19.7</v>
          </cell>
          <cell r="AZ22">
            <v>6</v>
          </cell>
          <cell r="BA22">
            <v>6</v>
          </cell>
          <cell r="BB22">
            <v>25.7</v>
          </cell>
          <cell r="BC22">
            <v>25.7</v>
          </cell>
        </row>
        <row r="23">
          <cell r="A23" t="str">
            <v xml:space="preserve">   4.  Level IV</v>
          </cell>
          <cell r="B23">
            <v>0</v>
          </cell>
          <cell r="C23">
            <v>0</v>
          </cell>
          <cell r="D23">
            <v>0</v>
          </cell>
          <cell r="E23">
            <v>0</v>
          </cell>
          <cell r="F23">
            <v>0</v>
          </cell>
          <cell r="G23">
            <v>0</v>
          </cell>
          <cell r="I23" t="str">
            <v xml:space="preserve">   4.  Level IV</v>
          </cell>
          <cell r="J23">
            <v>0</v>
          </cell>
          <cell r="K23">
            <v>0</v>
          </cell>
          <cell r="L23">
            <v>0</v>
          </cell>
          <cell r="M23">
            <v>0</v>
          </cell>
          <cell r="N23">
            <v>0</v>
          </cell>
          <cell r="O23">
            <v>0</v>
          </cell>
          <cell r="Q23" t="str">
            <v xml:space="preserve">   4.  Level IV</v>
          </cell>
          <cell r="R23">
            <v>0</v>
          </cell>
          <cell r="S23">
            <v>0</v>
          </cell>
          <cell r="T23">
            <v>0</v>
          </cell>
          <cell r="U23">
            <v>0</v>
          </cell>
          <cell r="V23">
            <v>0</v>
          </cell>
          <cell r="W23">
            <v>0</v>
          </cell>
          <cell r="Y23" t="str">
            <v xml:space="preserve">   4.  Level IV</v>
          </cell>
          <cell r="Z23">
            <v>0.03</v>
          </cell>
          <cell r="AA23">
            <v>0.03</v>
          </cell>
          <cell r="AB23">
            <v>5.0599999999999996</v>
          </cell>
          <cell r="AC23">
            <v>5.0599999999999996</v>
          </cell>
          <cell r="AD23">
            <v>5.09</v>
          </cell>
          <cell r="AE23">
            <v>5.09</v>
          </cell>
          <cell r="AG23" t="str">
            <v xml:space="preserve">   4.  Level IV</v>
          </cell>
          <cell r="AH23">
            <v>0</v>
          </cell>
          <cell r="AI23">
            <v>0</v>
          </cell>
          <cell r="AJ23">
            <v>0</v>
          </cell>
          <cell r="AK23">
            <v>0</v>
          </cell>
          <cell r="AL23">
            <v>0</v>
          </cell>
          <cell r="AM23">
            <v>0</v>
          </cell>
          <cell r="AO23" t="str">
            <v xml:space="preserve">   4.  Level IV</v>
          </cell>
          <cell r="AP23">
            <v>3</v>
          </cell>
          <cell r="AQ23">
            <v>3</v>
          </cell>
          <cell r="AR23">
            <v>0</v>
          </cell>
          <cell r="AS23">
            <v>0</v>
          </cell>
          <cell r="AT23">
            <v>3</v>
          </cell>
          <cell r="AU23">
            <v>3</v>
          </cell>
          <cell r="AW23" t="str">
            <v xml:space="preserve">   4.  Level IV</v>
          </cell>
          <cell r="AX23">
            <v>0</v>
          </cell>
          <cell r="AY23">
            <v>0</v>
          </cell>
          <cell r="AZ23">
            <v>0</v>
          </cell>
          <cell r="BA23">
            <v>0</v>
          </cell>
          <cell r="BB23">
            <v>0</v>
          </cell>
          <cell r="BC23">
            <v>0</v>
          </cell>
        </row>
        <row r="24">
          <cell r="A24" t="str">
            <v xml:space="preserve">   5.</v>
          </cell>
          <cell r="I24" t="str">
            <v xml:space="preserve">   5.</v>
          </cell>
          <cell r="Q24" t="str">
            <v xml:space="preserve">   5.</v>
          </cell>
          <cell r="Y24" t="str">
            <v xml:space="preserve">   5.</v>
          </cell>
          <cell r="AG24" t="str">
            <v xml:space="preserve">   5.</v>
          </cell>
          <cell r="AO24" t="str">
            <v xml:space="preserve">   5.</v>
          </cell>
          <cell r="AW24" t="str">
            <v xml:space="preserve">   5.</v>
          </cell>
        </row>
        <row r="25">
          <cell r="A25" t="str">
            <v xml:space="preserve">   6.</v>
          </cell>
          <cell r="I25" t="str">
            <v xml:space="preserve">   6.</v>
          </cell>
          <cell r="Q25" t="str">
            <v xml:space="preserve">   6.</v>
          </cell>
          <cell r="Y25" t="str">
            <v xml:space="preserve">   6.</v>
          </cell>
          <cell r="AG25" t="str">
            <v xml:space="preserve">   6.</v>
          </cell>
          <cell r="AO25" t="str">
            <v xml:space="preserve">   6.</v>
          </cell>
          <cell r="AW25" t="str">
            <v xml:space="preserve">   6.</v>
          </cell>
        </row>
        <row r="26">
          <cell r="A26" t="str">
            <v xml:space="preserve">   7.  Home and Community Based Services (HCBS) Total</v>
          </cell>
          <cell r="B26">
            <v>75.259999999999991</v>
          </cell>
          <cell r="C26">
            <v>75.259999999999991</v>
          </cell>
          <cell r="D26">
            <v>19.27</v>
          </cell>
          <cell r="E26">
            <v>19.27</v>
          </cell>
          <cell r="F26">
            <v>94.529999999999987</v>
          </cell>
          <cell r="G26">
            <v>94.529999999999987</v>
          </cell>
          <cell r="I26" t="str">
            <v xml:space="preserve">   7.  Home and Community Based Services (HCBS) Total</v>
          </cell>
          <cell r="J26">
            <v>141.39000000000001</v>
          </cell>
          <cell r="K26">
            <v>141.39000000000001</v>
          </cell>
          <cell r="L26">
            <v>32.260000000000005</v>
          </cell>
          <cell r="M26">
            <v>32.260000000000005</v>
          </cell>
          <cell r="N26">
            <v>173.65000000000003</v>
          </cell>
          <cell r="O26">
            <v>173.65000000000003</v>
          </cell>
          <cell r="Q26" t="str">
            <v xml:space="preserve">   7.  Home and Community Based Services (HCBS) Total</v>
          </cell>
          <cell r="R26">
            <v>39.78</v>
          </cell>
          <cell r="S26">
            <v>39.78</v>
          </cell>
          <cell r="T26">
            <v>5</v>
          </cell>
          <cell r="U26">
            <v>5</v>
          </cell>
          <cell r="V26">
            <v>44.78</v>
          </cell>
          <cell r="W26">
            <v>44.78</v>
          </cell>
          <cell r="Y26" t="str">
            <v xml:space="preserve">   7.  Home and Community Based Services (HCBS) Total</v>
          </cell>
          <cell r="Z26">
            <v>2005.4400000000005</v>
          </cell>
          <cell r="AA26">
            <v>2005.4400000000005</v>
          </cell>
          <cell r="AB26">
            <v>579.15</v>
          </cell>
          <cell r="AC26">
            <v>579.15</v>
          </cell>
          <cell r="AD26">
            <v>2584.5900000000006</v>
          </cell>
          <cell r="AE26">
            <v>2584.5900000000006</v>
          </cell>
          <cell r="AG26" t="str">
            <v xml:space="preserve">   7.  Home and Community Based Services (HCBS) Total</v>
          </cell>
          <cell r="AH26">
            <v>551.89</v>
          </cell>
          <cell r="AI26">
            <v>551.89</v>
          </cell>
          <cell r="AJ26">
            <v>104.56</v>
          </cell>
          <cell r="AK26">
            <v>104.56</v>
          </cell>
          <cell r="AL26">
            <v>656.45</v>
          </cell>
          <cell r="AM26">
            <v>656.45</v>
          </cell>
          <cell r="AO26" t="str">
            <v xml:space="preserve">   7.  Home and Community Based Services (HCBS) Total</v>
          </cell>
          <cell r="AP26">
            <v>194.00999999999996</v>
          </cell>
          <cell r="AQ26">
            <v>194.00999999999996</v>
          </cell>
          <cell r="AR26">
            <v>49.88</v>
          </cell>
          <cell r="AS26">
            <v>49.88</v>
          </cell>
          <cell r="AT26">
            <v>243.88999999999996</v>
          </cell>
          <cell r="AU26">
            <v>243.88999999999996</v>
          </cell>
          <cell r="AW26" t="str">
            <v xml:space="preserve">   7.  Home and Community Based Services (HCBS) Total</v>
          </cell>
          <cell r="AX26">
            <v>419.09000000000003</v>
          </cell>
          <cell r="AY26">
            <v>419.09000000000003</v>
          </cell>
          <cell r="AZ26">
            <v>106.07</v>
          </cell>
          <cell r="BA26">
            <v>106.07</v>
          </cell>
          <cell r="BB26">
            <v>525.16000000000008</v>
          </cell>
          <cell r="BC26">
            <v>525.16000000000008</v>
          </cell>
        </row>
        <row r="27">
          <cell r="A27" t="str">
            <v xml:space="preserve">       a.  Adult Foster Care</v>
          </cell>
          <cell r="B27">
            <v>0</v>
          </cell>
          <cell r="C27">
            <v>0</v>
          </cell>
          <cell r="D27">
            <v>0</v>
          </cell>
          <cell r="E27">
            <v>0</v>
          </cell>
          <cell r="F27">
            <v>0</v>
          </cell>
          <cell r="G27">
            <v>0</v>
          </cell>
          <cell r="I27" t="str">
            <v xml:space="preserve">       a.  Adult Foster Care</v>
          </cell>
          <cell r="J27">
            <v>0</v>
          </cell>
          <cell r="K27">
            <v>0</v>
          </cell>
          <cell r="L27">
            <v>0</v>
          </cell>
          <cell r="M27">
            <v>0</v>
          </cell>
          <cell r="N27">
            <v>0</v>
          </cell>
          <cell r="O27">
            <v>0</v>
          </cell>
          <cell r="Q27" t="str">
            <v xml:space="preserve">       a.  Adult Foster Care</v>
          </cell>
          <cell r="R27">
            <v>0</v>
          </cell>
          <cell r="S27">
            <v>0</v>
          </cell>
          <cell r="T27">
            <v>0</v>
          </cell>
          <cell r="U27">
            <v>0</v>
          </cell>
          <cell r="V27">
            <v>0</v>
          </cell>
          <cell r="W27">
            <v>0</v>
          </cell>
          <cell r="Y27" t="str">
            <v xml:space="preserve">       a.  Adult Foster Care</v>
          </cell>
          <cell r="Z27">
            <v>66.97</v>
          </cell>
          <cell r="AA27">
            <v>66.97</v>
          </cell>
          <cell r="AB27">
            <v>10.039999999999999</v>
          </cell>
          <cell r="AC27">
            <v>10.039999999999999</v>
          </cell>
          <cell r="AD27">
            <v>77.009999999999991</v>
          </cell>
          <cell r="AE27">
            <v>77.009999999999991</v>
          </cell>
          <cell r="AG27" t="str">
            <v xml:space="preserve">       a.  Adult Foster Care</v>
          </cell>
          <cell r="AH27">
            <v>4.9000000000000004</v>
          </cell>
          <cell r="AI27">
            <v>4.9000000000000004</v>
          </cell>
          <cell r="AJ27">
            <v>2.9</v>
          </cell>
          <cell r="AK27">
            <v>2.9</v>
          </cell>
          <cell r="AL27">
            <v>7.8000000000000007</v>
          </cell>
          <cell r="AM27">
            <v>7.8000000000000007</v>
          </cell>
          <cell r="AO27" t="str">
            <v xml:space="preserve">       a.  Adult Foster Care</v>
          </cell>
          <cell r="AP27">
            <v>0</v>
          </cell>
          <cell r="AQ27">
            <v>0</v>
          </cell>
          <cell r="AR27">
            <v>0</v>
          </cell>
          <cell r="AS27">
            <v>0</v>
          </cell>
          <cell r="AT27">
            <v>0</v>
          </cell>
          <cell r="AU27">
            <v>0</v>
          </cell>
          <cell r="AW27" t="str">
            <v xml:space="preserve">       a.  Adult Foster Care</v>
          </cell>
          <cell r="AX27">
            <v>2</v>
          </cell>
          <cell r="AY27">
            <v>2</v>
          </cell>
          <cell r="AZ27">
            <v>0</v>
          </cell>
          <cell r="BA27">
            <v>0</v>
          </cell>
          <cell r="BB27">
            <v>2</v>
          </cell>
          <cell r="BC27">
            <v>2</v>
          </cell>
        </row>
        <row r="28">
          <cell r="A28" t="str">
            <v xml:space="preserve">       b.  Assisted Living Home (Adult Care Home)</v>
          </cell>
          <cell r="B28">
            <v>18.940000000000001</v>
          </cell>
          <cell r="C28">
            <v>18.940000000000001</v>
          </cell>
          <cell r="D28">
            <v>0.82</v>
          </cell>
          <cell r="E28">
            <v>0.82</v>
          </cell>
          <cell r="F28">
            <v>19.760000000000002</v>
          </cell>
          <cell r="G28">
            <v>19.760000000000002</v>
          </cell>
          <cell r="I28" t="str">
            <v xml:space="preserve">       b.  Assisted Living Home (Adult Care Home)</v>
          </cell>
          <cell r="J28">
            <v>7.33</v>
          </cell>
          <cell r="K28">
            <v>7.33</v>
          </cell>
          <cell r="L28">
            <v>1</v>
          </cell>
          <cell r="M28">
            <v>1</v>
          </cell>
          <cell r="N28">
            <v>8.33</v>
          </cell>
          <cell r="O28">
            <v>8.33</v>
          </cell>
          <cell r="Q28" t="str">
            <v xml:space="preserve">       b.  Assisted Living Home (Adult Care Home)</v>
          </cell>
          <cell r="R28">
            <v>0</v>
          </cell>
          <cell r="S28">
            <v>0</v>
          </cell>
          <cell r="T28">
            <v>0</v>
          </cell>
          <cell r="U28">
            <v>0</v>
          </cell>
          <cell r="V28">
            <v>0</v>
          </cell>
          <cell r="W28">
            <v>0</v>
          </cell>
          <cell r="Y28" t="str">
            <v xml:space="preserve">       b.  Assisted Living Home (Adult Care Home)</v>
          </cell>
          <cell r="Z28">
            <v>797.76</v>
          </cell>
          <cell r="AA28">
            <v>797.76</v>
          </cell>
          <cell r="AB28">
            <v>43.99</v>
          </cell>
          <cell r="AC28">
            <v>43.99</v>
          </cell>
          <cell r="AD28">
            <v>841.75</v>
          </cell>
          <cell r="AE28">
            <v>841.75</v>
          </cell>
          <cell r="AG28" t="str">
            <v xml:space="preserve">       b.  Assisted Living Home (Adult Care Home)</v>
          </cell>
          <cell r="AH28">
            <v>11.37</v>
          </cell>
          <cell r="AI28">
            <v>11.37</v>
          </cell>
          <cell r="AJ28">
            <v>4</v>
          </cell>
          <cell r="AK28">
            <v>4</v>
          </cell>
          <cell r="AL28">
            <v>15.37</v>
          </cell>
          <cell r="AM28">
            <v>15.37</v>
          </cell>
          <cell r="AO28" t="str">
            <v xml:space="preserve">       b.  Assisted Living Home (Adult Care Home)</v>
          </cell>
          <cell r="AP28">
            <v>35.15</v>
          </cell>
          <cell r="AQ28">
            <v>35.15</v>
          </cell>
          <cell r="AR28">
            <v>4</v>
          </cell>
          <cell r="AS28">
            <v>4</v>
          </cell>
          <cell r="AT28">
            <v>39.15</v>
          </cell>
          <cell r="AU28">
            <v>39.15</v>
          </cell>
          <cell r="AW28" t="str">
            <v xml:space="preserve">       b.  Assisted Living Home (Adult Care Home)</v>
          </cell>
          <cell r="AX28">
            <v>49.99</v>
          </cell>
          <cell r="AY28">
            <v>49.99</v>
          </cell>
          <cell r="AZ28">
            <v>4</v>
          </cell>
          <cell r="BA28">
            <v>4</v>
          </cell>
          <cell r="BB28">
            <v>53.99</v>
          </cell>
          <cell r="BC28">
            <v>53.99</v>
          </cell>
        </row>
        <row r="29">
          <cell r="A29" t="str">
            <v xml:space="preserve">       c.  Group Home (DD)</v>
          </cell>
          <cell r="B29">
            <v>0</v>
          </cell>
          <cell r="C29">
            <v>0</v>
          </cell>
          <cell r="D29">
            <v>0</v>
          </cell>
          <cell r="E29">
            <v>0</v>
          </cell>
          <cell r="F29">
            <v>0</v>
          </cell>
          <cell r="G29">
            <v>0</v>
          </cell>
          <cell r="I29" t="str">
            <v xml:space="preserve">       c.  Group Home (DD)</v>
          </cell>
          <cell r="J29">
            <v>0</v>
          </cell>
          <cell r="K29">
            <v>0</v>
          </cell>
          <cell r="L29">
            <v>0</v>
          </cell>
          <cell r="M29">
            <v>0</v>
          </cell>
          <cell r="N29">
            <v>0</v>
          </cell>
          <cell r="O29">
            <v>0</v>
          </cell>
          <cell r="Q29" t="str">
            <v xml:space="preserve">       c.  Group Home (DD)</v>
          </cell>
          <cell r="R29">
            <v>0</v>
          </cell>
          <cell r="S29">
            <v>0</v>
          </cell>
          <cell r="T29">
            <v>0</v>
          </cell>
          <cell r="U29">
            <v>0</v>
          </cell>
          <cell r="V29">
            <v>0</v>
          </cell>
          <cell r="W29">
            <v>0</v>
          </cell>
          <cell r="Y29" t="str">
            <v xml:space="preserve">       c.  Group Home (DD)</v>
          </cell>
          <cell r="Z29">
            <v>2.0299999999999998</v>
          </cell>
          <cell r="AA29">
            <v>2.0299999999999998</v>
          </cell>
          <cell r="AB29">
            <v>0</v>
          </cell>
          <cell r="AC29">
            <v>0</v>
          </cell>
          <cell r="AD29">
            <v>2.0299999999999998</v>
          </cell>
          <cell r="AE29">
            <v>2.0299999999999998</v>
          </cell>
          <cell r="AG29" t="str">
            <v xml:space="preserve">       c.  Group Home (DD)</v>
          </cell>
          <cell r="AH29">
            <v>0</v>
          </cell>
          <cell r="AI29">
            <v>0</v>
          </cell>
          <cell r="AJ29">
            <v>0</v>
          </cell>
          <cell r="AK29">
            <v>0</v>
          </cell>
          <cell r="AL29">
            <v>0</v>
          </cell>
          <cell r="AM29">
            <v>0</v>
          </cell>
          <cell r="AO29" t="str">
            <v xml:space="preserve">       c.  Group Home (DD)</v>
          </cell>
          <cell r="AP29">
            <v>0</v>
          </cell>
          <cell r="AQ29">
            <v>0</v>
          </cell>
          <cell r="AR29">
            <v>0</v>
          </cell>
          <cell r="AS29">
            <v>0</v>
          </cell>
          <cell r="AT29">
            <v>0</v>
          </cell>
          <cell r="AU29">
            <v>0</v>
          </cell>
          <cell r="AW29" t="str">
            <v xml:space="preserve">       c.  Group Home (DD)</v>
          </cell>
          <cell r="AX29">
            <v>0</v>
          </cell>
          <cell r="AY29">
            <v>0</v>
          </cell>
          <cell r="AZ29">
            <v>0</v>
          </cell>
          <cell r="BA29">
            <v>0</v>
          </cell>
          <cell r="BB29">
            <v>0</v>
          </cell>
          <cell r="BC29">
            <v>0</v>
          </cell>
        </row>
        <row r="30">
          <cell r="A30" t="str">
            <v xml:space="preserve">       d.  Individual Home</v>
          </cell>
          <cell r="B30">
            <v>27</v>
          </cell>
          <cell r="C30">
            <v>27</v>
          </cell>
          <cell r="D30">
            <v>14.45</v>
          </cell>
          <cell r="E30">
            <v>14.45</v>
          </cell>
          <cell r="F30">
            <v>41.45</v>
          </cell>
          <cell r="G30">
            <v>41.45</v>
          </cell>
          <cell r="I30" t="str">
            <v xml:space="preserve">       d.  Individual Home</v>
          </cell>
          <cell r="J30">
            <v>40.130000000000003</v>
          </cell>
          <cell r="K30">
            <v>40.130000000000003</v>
          </cell>
          <cell r="L30">
            <v>17.260000000000002</v>
          </cell>
          <cell r="M30">
            <v>17.260000000000002</v>
          </cell>
          <cell r="N30">
            <v>57.39</v>
          </cell>
          <cell r="O30">
            <v>57.39</v>
          </cell>
          <cell r="Q30" t="str">
            <v xml:space="preserve">       d.  Individual Home</v>
          </cell>
          <cell r="R30">
            <v>28.59</v>
          </cell>
          <cell r="S30">
            <v>28.59</v>
          </cell>
          <cell r="T30">
            <v>1</v>
          </cell>
          <cell r="U30">
            <v>1</v>
          </cell>
          <cell r="V30">
            <v>29.59</v>
          </cell>
          <cell r="W30">
            <v>29.59</v>
          </cell>
          <cell r="Y30" t="str">
            <v xml:space="preserve">       d.  Individual Home</v>
          </cell>
          <cell r="Z30">
            <v>-692.02999999999963</v>
          </cell>
          <cell r="AA30">
            <v>-692.02999999999963</v>
          </cell>
          <cell r="AB30">
            <v>281.52</v>
          </cell>
          <cell r="AC30">
            <v>281.52</v>
          </cell>
          <cell r="AD30">
            <v>-410.50999999999965</v>
          </cell>
          <cell r="AE30">
            <v>-410.50999999999965</v>
          </cell>
          <cell r="AG30" t="str">
            <v xml:space="preserve">       d.  Individual Home</v>
          </cell>
          <cell r="AH30">
            <v>224.45</v>
          </cell>
          <cell r="AI30">
            <v>224.45</v>
          </cell>
          <cell r="AJ30">
            <v>53</v>
          </cell>
          <cell r="AK30">
            <v>53</v>
          </cell>
          <cell r="AL30">
            <v>277.45</v>
          </cell>
          <cell r="AM30">
            <v>277.45</v>
          </cell>
          <cell r="AO30" t="str">
            <v xml:space="preserve">       d.  Individual Home</v>
          </cell>
          <cell r="AP30">
            <v>75.209999999999994</v>
          </cell>
          <cell r="AQ30">
            <v>75.209999999999994</v>
          </cell>
          <cell r="AR30">
            <v>29.1</v>
          </cell>
          <cell r="AS30">
            <v>29.1</v>
          </cell>
          <cell r="AT30">
            <v>104.31</v>
          </cell>
          <cell r="AU30">
            <v>104.31</v>
          </cell>
          <cell r="AW30" t="str">
            <v xml:space="preserve">       d.  Individual Home</v>
          </cell>
          <cell r="AX30">
            <v>131.38999999999999</v>
          </cell>
          <cell r="AY30">
            <v>131.38999999999999</v>
          </cell>
          <cell r="AZ30">
            <v>48.48</v>
          </cell>
          <cell r="BA30">
            <v>48.48</v>
          </cell>
          <cell r="BB30">
            <v>179.86999999999998</v>
          </cell>
          <cell r="BC30">
            <v>179.86999999999998</v>
          </cell>
        </row>
        <row r="31">
          <cell r="A31" t="str">
            <v xml:space="preserve">       e.  Assisted Living Centers (SRL)</v>
          </cell>
          <cell r="B31">
            <v>1</v>
          </cell>
          <cell r="C31">
            <v>1</v>
          </cell>
          <cell r="D31">
            <v>1</v>
          </cell>
          <cell r="E31">
            <v>1</v>
          </cell>
          <cell r="F31">
            <v>2</v>
          </cell>
          <cell r="G31">
            <v>2</v>
          </cell>
          <cell r="I31" t="str">
            <v xml:space="preserve">       e.  Assisted Living Centers (SRL)</v>
          </cell>
          <cell r="J31">
            <v>65.38</v>
          </cell>
          <cell r="K31">
            <v>65.38</v>
          </cell>
          <cell r="L31">
            <v>3</v>
          </cell>
          <cell r="M31">
            <v>3</v>
          </cell>
          <cell r="N31">
            <v>68.38</v>
          </cell>
          <cell r="O31">
            <v>68.38</v>
          </cell>
          <cell r="Q31" t="str">
            <v xml:space="preserve">       e.  Assisted Living Centers (SRL)</v>
          </cell>
          <cell r="R31">
            <v>3.65</v>
          </cell>
          <cell r="S31">
            <v>3.65</v>
          </cell>
          <cell r="T31">
            <v>0</v>
          </cell>
          <cell r="U31">
            <v>0</v>
          </cell>
          <cell r="V31">
            <v>3.65</v>
          </cell>
          <cell r="W31">
            <v>3.65</v>
          </cell>
          <cell r="Y31" t="str">
            <v xml:space="preserve">       e.  Assisted Living Centers (SRL)</v>
          </cell>
          <cell r="Z31">
            <v>907.33</v>
          </cell>
          <cell r="AA31">
            <v>907.33</v>
          </cell>
          <cell r="AB31">
            <v>49.54</v>
          </cell>
          <cell r="AC31">
            <v>49.54</v>
          </cell>
          <cell r="AD31">
            <v>956.87</v>
          </cell>
          <cell r="AE31">
            <v>956.87</v>
          </cell>
          <cell r="AG31" t="str">
            <v xml:space="preserve">       e.  Assisted Living Centers (SRL)</v>
          </cell>
          <cell r="AH31">
            <v>150.47</v>
          </cell>
          <cell r="AI31">
            <v>150.47</v>
          </cell>
          <cell r="AJ31">
            <v>20.9</v>
          </cell>
          <cell r="AK31">
            <v>20.9</v>
          </cell>
          <cell r="AL31">
            <v>171.37</v>
          </cell>
          <cell r="AM31">
            <v>171.37</v>
          </cell>
          <cell r="AO31" t="str">
            <v xml:space="preserve">       e.  Assisted Living Centers (SRL)</v>
          </cell>
          <cell r="AP31">
            <v>24.01</v>
          </cell>
          <cell r="AQ31">
            <v>24.01</v>
          </cell>
          <cell r="AR31">
            <v>3.03</v>
          </cell>
          <cell r="AS31">
            <v>3.03</v>
          </cell>
          <cell r="AT31">
            <v>27.040000000000003</v>
          </cell>
          <cell r="AU31">
            <v>27.040000000000003</v>
          </cell>
          <cell r="AW31" t="str">
            <v xml:space="preserve">       e.  Assisted Living Centers (SRL)</v>
          </cell>
          <cell r="AX31">
            <v>62.9</v>
          </cell>
          <cell r="AY31">
            <v>62.9</v>
          </cell>
          <cell r="AZ31">
            <v>6.96</v>
          </cell>
          <cell r="BA31">
            <v>6.96</v>
          </cell>
          <cell r="BB31">
            <v>69.86</v>
          </cell>
          <cell r="BC31">
            <v>69.86</v>
          </cell>
        </row>
        <row r="32">
          <cell r="A32" t="str">
            <v xml:space="preserve">       f.  Other (Hospice)</v>
          </cell>
          <cell r="B32">
            <v>7.32</v>
          </cell>
          <cell r="C32">
            <v>7.32</v>
          </cell>
          <cell r="D32">
            <v>0</v>
          </cell>
          <cell r="E32">
            <v>0</v>
          </cell>
          <cell r="F32">
            <v>7.32</v>
          </cell>
          <cell r="G32">
            <v>7.32</v>
          </cell>
          <cell r="I32" t="str">
            <v xml:space="preserve">       f.  Other (Hospice)</v>
          </cell>
          <cell r="J32">
            <v>0.87</v>
          </cell>
          <cell r="K32">
            <v>0.87</v>
          </cell>
          <cell r="L32">
            <v>0</v>
          </cell>
          <cell r="M32">
            <v>0</v>
          </cell>
          <cell r="N32">
            <v>0.87</v>
          </cell>
          <cell r="O32">
            <v>0.87</v>
          </cell>
          <cell r="Q32" t="str">
            <v xml:space="preserve">       f.  Other (Hospice)</v>
          </cell>
          <cell r="R32">
            <v>0</v>
          </cell>
          <cell r="S32">
            <v>0</v>
          </cell>
          <cell r="T32">
            <v>1</v>
          </cell>
          <cell r="U32">
            <v>1</v>
          </cell>
          <cell r="V32">
            <v>1</v>
          </cell>
          <cell r="W32">
            <v>1</v>
          </cell>
          <cell r="Y32" t="str">
            <v xml:space="preserve">       f.  Other (Hospice)</v>
          </cell>
          <cell r="Z32">
            <v>116.41</v>
          </cell>
          <cell r="AA32">
            <v>116.41</v>
          </cell>
          <cell r="AB32">
            <v>2.39</v>
          </cell>
          <cell r="AC32">
            <v>2.39</v>
          </cell>
          <cell r="AD32">
            <v>118.8</v>
          </cell>
          <cell r="AE32">
            <v>118.8</v>
          </cell>
          <cell r="AG32" t="str">
            <v xml:space="preserve">       f.  Other (Hospice)</v>
          </cell>
          <cell r="AH32">
            <v>2</v>
          </cell>
          <cell r="AI32">
            <v>2</v>
          </cell>
          <cell r="AJ32">
            <v>0</v>
          </cell>
          <cell r="AK32">
            <v>0</v>
          </cell>
          <cell r="AL32">
            <v>2</v>
          </cell>
          <cell r="AM32">
            <v>2</v>
          </cell>
          <cell r="AO32" t="str">
            <v xml:space="preserve">       f.  Other (Hospice)</v>
          </cell>
          <cell r="AP32">
            <v>7.16</v>
          </cell>
          <cell r="AQ32">
            <v>7.16</v>
          </cell>
          <cell r="AR32">
            <v>2.75</v>
          </cell>
          <cell r="AS32">
            <v>2.75</v>
          </cell>
          <cell r="AT32">
            <v>9.91</v>
          </cell>
          <cell r="AU32">
            <v>9.91</v>
          </cell>
          <cell r="AW32" t="str">
            <v xml:space="preserve">       f.  Other (Hospice)</v>
          </cell>
          <cell r="AX32">
            <v>10.97</v>
          </cell>
          <cell r="AY32">
            <v>10.97</v>
          </cell>
          <cell r="AZ32">
            <v>1</v>
          </cell>
          <cell r="BA32">
            <v>1</v>
          </cell>
          <cell r="BB32">
            <v>11.97</v>
          </cell>
          <cell r="BC32">
            <v>11.97</v>
          </cell>
        </row>
        <row r="33">
          <cell r="A33" t="str">
            <v xml:space="preserve">       g.  Attendant Care</v>
          </cell>
          <cell r="B33">
            <v>21</v>
          </cell>
          <cell r="C33">
            <v>21</v>
          </cell>
          <cell r="D33">
            <v>3</v>
          </cell>
          <cell r="E33">
            <v>3</v>
          </cell>
          <cell r="F33">
            <v>24</v>
          </cell>
          <cell r="G33">
            <v>24</v>
          </cell>
          <cell r="I33" t="str">
            <v xml:space="preserve">       g.  Attendant Care</v>
          </cell>
          <cell r="J33">
            <v>27.68</v>
          </cell>
          <cell r="K33">
            <v>27.68</v>
          </cell>
          <cell r="L33">
            <v>11</v>
          </cell>
          <cell r="M33">
            <v>11</v>
          </cell>
          <cell r="N33">
            <v>38.68</v>
          </cell>
          <cell r="O33">
            <v>38.68</v>
          </cell>
          <cell r="Q33" t="str">
            <v xml:space="preserve">       g.  Attendant Care</v>
          </cell>
          <cell r="R33">
            <v>7.54</v>
          </cell>
          <cell r="S33">
            <v>7.54</v>
          </cell>
          <cell r="T33">
            <v>3</v>
          </cell>
          <cell r="U33">
            <v>3</v>
          </cell>
          <cell r="V33">
            <v>10.54</v>
          </cell>
          <cell r="W33">
            <v>10.54</v>
          </cell>
          <cell r="Y33" t="str">
            <v xml:space="preserve">       g.  Attendant Care</v>
          </cell>
          <cell r="Z33">
            <v>806.97</v>
          </cell>
          <cell r="AA33">
            <v>806.97</v>
          </cell>
          <cell r="AB33">
            <v>191.67</v>
          </cell>
          <cell r="AC33">
            <v>191.67</v>
          </cell>
          <cell r="AD33">
            <v>998.64</v>
          </cell>
          <cell r="AE33">
            <v>998.64</v>
          </cell>
          <cell r="AG33" t="str">
            <v xml:space="preserve">       g.  Attendant Care</v>
          </cell>
          <cell r="AH33">
            <v>158.69999999999999</v>
          </cell>
          <cell r="AI33">
            <v>158.69999999999999</v>
          </cell>
          <cell r="AJ33">
            <v>23.76</v>
          </cell>
          <cell r="AK33">
            <v>23.76</v>
          </cell>
          <cell r="AL33">
            <v>182.45999999999998</v>
          </cell>
          <cell r="AM33">
            <v>182.45999999999998</v>
          </cell>
          <cell r="AO33" t="str">
            <v xml:space="preserve">       g.  Attendant Care</v>
          </cell>
          <cell r="AP33">
            <v>52.48</v>
          </cell>
          <cell r="AQ33">
            <v>52.48</v>
          </cell>
          <cell r="AR33">
            <v>11</v>
          </cell>
          <cell r="AS33">
            <v>11</v>
          </cell>
          <cell r="AT33">
            <v>63.48</v>
          </cell>
          <cell r="AU33">
            <v>63.48</v>
          </cell>
          <cell r="AW33" t="str">
            <v xml:space="preserve">       g.  Attendant Care</v>
          </cell>
          <cell r="AX33">
            <v>161.84</v>
          </cell>
          <cell r="AY33">
            <v>161.84</v>
          </cell>
          <cell r="AZ33">
            <v>45.63</v>
          </cell>
          <cell r="BA33">
            <v>45.63</v>
          </cell>
          <cell r="BB33">
            <v>207.47</v>
          </cell>
          <cell r="BC33">
            <v>207.47</v>
          </cell>
        </row>
        <row r="34">
          <cell r="A34" t="str">
            <v xml:space="preserve">   8.  Acute Care</v>
          </cell>
          <cell r="B34">
            <v>1</v>
          </cell>
          <cell r="C34">
            <v>1</v>
          </cell>
          <cell r="D34">
            <v>0</v>
          </cell>
          <cell r="E34">
            <v>0</v>
          </cell>
          <cell r="F34">
            <v>1</v>
          </cell>
          <cell r="G34">
            <v>1</v>
          </cell>
          <cell r="I34" t="str">
            <v xml:space="preserve">   8.  Acute Care</v>
          </cell>
          <cell r="J34">
            <v>5</v>
          </cell>
          <cell r="K34">
            <v>5</v>
          </cell>
          <cell r="L34">
            <v>2</v>
          </cell>
          <cell r="M34">
            <v>2</v>
          </cell>
          <cell r="N34">
            <v>7</v>
          </cell>
          <cell r="O34">
            <v>7</v>
          </cell>
          <cell r="Q34" t="str">
            <v xml:space="preserve">   8.  Acute Care</v>
          </cell>
          <cell r="R34">
            <v>3.03</v>
          </cell>
          <cell r="S34">
            <v>3.03</v>
          </cell>
          <cell r="T34">
            <v>0</v>
          </cell>
          <cell r="U34">
            <v>0</v>
          </cell>
          <cell r="V34">
            <v>3.03</v>
          </cell>
          <cell r="W34">
            <v>3.03</v>
          </cell>
          <cell r="Y34" t="str">
            <v xml:space="preserve">   8.  Acute Care</v>
          </cell>
          <cell r="Z34">
            <v>47.15</v>
          </cell>
          <cell r="AA34">
            <v>47.15</v>
          </cell>
          <cell r="AB34">
            <v>34.1</v>
          </cell>
          <cell r="AC34">
            <v>34.1</v>
          </cell>
          <cell r="AD34">
            <v>81.25</v>
          </cell>
          <cell r="AE34">
            <v>81.25</v>
          </cell>
          <cell r="AG34" t="str">
            <v xml:space="preserve">   8.  Acute Care</v>
          </cell>
          <cell r="AH34">
            <v>2.9</v>
          </cell>
          <cell r="AI34">
            <v>2.9</v>
          </cell>
          <cell r="AJ34">
            <v>0</v>
          </cell>
          <cell r="AK34">
            <v>0</v>
          </cell>
          <cell r="AL34">
            <v>2.9</v>
          </cell>
          <cell r="AM34">
            <v>2.9</v>
          </cell>
          <cell r="AO34" t="str">
            <v xml:space="preserve">   8.  Acute Care</v>
          </cell>
          <cell r="AP34">
            <v>2</v>
          </cell>
          <cell r="AQ34">
            <v>2</v>
          </cell>
          <cell r="AR34">
            <v>0</v>
          </cell>
          <cell r="AS34">
            <v>0</v>
          </cell>
          <cell r="AT34">
            <v>2</v>
          </cell>
          <cell r="AU34">
            <v>2</v>
          </cell>
          <cell r="AW34" t="str">
            <v xml:space="preserve">   8.  Acute Care</v>
          </cell>
          <cell r="AX34">
            <v>1</v>
          </cell>
          <cell r="AY34">
            <v>1</v>
          </cell>
          <cell r="AZ34">
            <v>2</v>
          </cell>
          <cell r="BA34">
            <v>2</v>
          </cell>
          <cell r="BB34">
            <v>3</v>
          </cell>
          <cell r="BC34">
            <v>3</v>
          </cell>
        </row>
        <row r="35">
          <cell r="A35" t="str">
            <v xml:space="preserve">   9.  Ventilator</v>
          </cell>
          <cell r="B35">
            <v>0</v>
          </cell>
          <cell r="C35">
            <v>0</v>
          </cell>
          <cell r="D35">
            <v>0</v>
          </cell>
          <cell r="E35">
            <v>0</v>
          </cell>
          <cell r="F35">
            <v>0</v>
          </cell>
          <cell r="G35">
            <v>0</v>
          </cell>
          <cell r="I35" t="str">
            <v xml:space="preserve">   9.  Ventilator</v>
          </cell>
          <cell r="J35">
            <v>0</v>
          </cell>
          <cell r="K35">
            <v>0</v>
          </cell>
          <cell r="L35">
            <v>1</v>
          </cell>
          <cell r="M35">
            <v>1</v>
          </cell>
          <cell r="N35">
            <v>1</v>
          </cell>
          <cell r="O35">
            <v>1</v>
          </cell>
          <cell r="Q35" t="str">
            <v xml:space="preserve">   9.  Ventilator</v>
          </cell>
          <cell r="R35">
            <v>0</v>
          </cell>
          <cell r="S35">
            <v>0</v>
          </cell>
          <cell r="T35">
            <v>0</v>
          </cell>
          <cell r="U35">
            <v>0</v>
          </cell>
          <cell r="V35">
            <v>0</v>
          </cell>
          <cell r="W35">
            <v>0</v>
          </cell>
          <cell r="Y35" t="str">
            <v xml:space="preserve">   9.  Ventilator</v>
          </cell>
          <cell r="Z35">
            <v>24.26</v>
          </cell>
          <cell r="AA35">
            <v>24.26</v>
          </cell>
          <cell r="AB35">
            <v>23.84</v>
          </cell>
          <cell r="AC35">
            <v>23.84</v>
          </cell>
          <cell r="AD35">
            <v>48.1</v>
          </cell>
          <cell r="AE35">
            <v>48.1</v>
          </cell>
          <cell r="AG35" t="str">
            <v xml:space="preserve">   9.  Ventilator</v>
          </cell>
          <cell r="AH35">
            <v>2</v>
          </cell>
          <cell r="AI35">
            <v>2</v>
          </cell>
          <cell r="AJ35">
            <v>0</v>
          </cell>
          <cell r="AK35">
            <v>0</v>
          </cell>
          <cell r="AL35">
            <v>2</v>
          </cell>
          <cell r="AM35">
            <v>2</v>
          </cell>
          <cell r="AO35" t="str">
            <v xml:space="preserve">   9.  Ventilator</v>
          </cell>
          <cell r="AP35">
            <v>2</v>
          </cell>
          <cell r="AQ35">
            <v>2</v>
          </cell>
          <cell r="AR35">
            <v>1</v>
          </cell>
          <cell r="AS35">
            <v>1</v>
          </cell>
          <cell r="AT35">
            <v>3</v>
          </cell>
          <cell r="AU35">
            <v>3</v>
          </cell>
          <cell r="AW35" t="str">
            <v xml:space="preserve">   9.  Ventilator</v>
          </cell>
          <cell r="AX35">
            <v>0</v>
          </cell>
          <cell r="AY35">
            <v>0</v>
          </cell>
          <cell r="AZ35">
            <v>1</v>
          </cell>
          <cell r="BA35">
            <v>1</v>
          </cell>
          <cell r="BB35">
            <v>1</v>
          </cell>
          <cell r="BC35">
            <v>1</v>
          </cell>
        </row>
        <row r="36">
          <cell r="A36" t="str">
            <v xml:space="preserve">  10.  Prior Period</v>
          </cell>
          <cell r="B36">
            <v>1.9666999999999999</v>
          </cell>
          <cell r="C36">
            <v>1.9666999999999999</v>
          </cell>
          <cell r="D36">
            <v>0</v>
          </cell>
          <cell r="E36">
            <v>0</v>
          </cell>
          <cell r="F36">
            <v>1.9666999999999999</v>
          </cell>
          <cell r="G36">
            <v>1.9666999999999999</v>
          </cell>
          <cell r="I36" t="str">
            <v xml:space="preserve">  10.  Prior Period</v>
          </cell>
          <cell r="J36">
            <v>6.4192999999999998</v>
          </cell>
          <cell r="K36">
            <v>6.4192999999999998</v>
          </cell>
          <cell r="L36">
            <v>0</v>
          </cell>
          <cell r="M36">
            <v>0</v>
          </cell>
          <cell r="N36">
            <v>6.4192999999999998</v>
          </cell>
          <cell r="O36">
            <v>6.4192999999999998</v>
          </cell>
          <cell r="Q36" t="str">
            <v xml:space="preserve">  10.  Prior Period</v>
          </cell>
          <cell r="R36">
            <v>5.7419000000000002</v>
          </cell>
          <cell r="S36">
            <v>5.7419000000000002</v>
          </cell>
          <cell r="T36">
            <v>0</v>
          </cell>
          <cell r="U36">
            <v>0</v>
          </cell>
          <cell r="V36">
            <v>5.7419000000000002</v>
          </cell>
          <cell r="W36">
            <v>5.7419000000000002</v>
          </cell>
          <cell r="Y36" t="str">
            <v xml:space="preserve">  10.  Prior Period</v>
          </cell>
          <cell r="Z36">
            <v>169.92769999999999</v>
          </cell>
          <cell r="AA36">
            <v>169.92769999999999</v>
          </cell>
          <cell r="AB36">
            <v>7.8385999999999996</v>
          </cell>
          <cell r="AC36">
            <v>7.8385999999999996</v>
          </cell>
          <cell r="AD36">
            <v>177.7663</v>
          </cell>
          <cell r="AE36">
            <v>177.7663</v>
          </cell>
          <cell r="AG36" t="str">
            <v xml:space="preserve">  10.  Prior Period</v>
          </cell>
          <cell r="AH36">
            <v>27.578399999999998</v>
          </cell>
          <cell r="AI36">
            <v>27.578399999999998</v>
          </cell>
          <cell r="AJ36">
            <v>0</v>
          </cell>
          <cell r="AK36">
            <v>0</v>
          </cell>
          <cell r="AL36">
            <v>27.578399999999998</v>
          </cell>
          <cell r="AM36">
            <v>27.578399999999998</v>
          </cell>
          <cell r="AO36" t="str">
            <v xml:space="preserve">  10.  Prior Period</v>
          </cell>
          <cell r="AP36">
            <v>6.3548999999999998</v>
          </cell>
          <cell r="AQ36">
            <v>6.3548999999999998</v>
          </cell>
          <cell r="AR36">
            <v>3.2300000000000002E-2</v>
          </cell>
          <cell r="AS36">
            <v>3.2300000000000002E-2</v>
          </cell>
          <cell r="AT36">
            <v>6.3872</v>
          </cell>
          <cell r="AU36">
            <v>6.3872</v>
          </cell>
          <cell r="AW36" t="str">
            <v xml:space="preserve">  10.  Prior Period</v>
          </cell>
          <cell r="AX36">
            <v>10.030200000000001</v>
          </cell>
          <cell r="AY36">
            <v>10.030200000000001</v>
          </cell>
          <cell r="AZ36">
            <v>0</v>
          </cell>
          <cell r="BA36">
            <v>0</v>
          </cell>
          <cell r="BB36">
            <v>10.030200000000001</v>
          </cell>
          <cell r="BC36">
            <v>10.030200000000001</v>
          </cell>
        </row>
        <row r="37">
          <cell r="A37" t="str">
            <v xml:space="preserve">  11.  Other - Not Placed</v>
          </cell>
          <cell r="B37">
            <v>-8.39</v>
          </cell>
          <cell r="C37">
            <v>-8.39</v>
          </cell>
          <cell r="D37">
            <v>-3</v>
          </cell>
          <cell r="E37">
            <v>-3</v>
          </cell>
          <cell r="F37">
            <v>-11.39</v>
          </cell>
          <cell r="G37">
            <v>-11.39</v>
          </cell>
          <cell r="I37" t="str">
            <v xml:space="preserve">  11.  Other - Not Placed</v>
          </cell>
          <cell r="J37">
            <v>-17.16</v>
          </cell>
          <cell r="K37">
            <v>-17.16</v>
          </cell>
          <cell r="L37">
            <v>-1.26</v>
          </cell>
          <cell r="M37">
            <v>-1.26</v>
          </cell>
          <cell r="N37">
            <v>-18.420000000000002</v>
          </cell>
          <cell r="O37">
            <v>-18.420000000000002</v>
          </cell>
          <cell r="Q37" t="str">
            <v xml:space="preserve">  11.  Other - Not Placed</v>
          </cell>
          <cell r="R37">
            <v>-11.33</v>
          </cell>
          <cell r="S37">
            <v>-11.33</v>
          </cell>
          <cell r="T37">
            <v>0</v>
          </cell>
          <cell r="U37">
            <v>0</v>
          </cell>
          <cell r="V37">
            <v>-11.33</v>
          </cell>
          <cell r="W37">
            <v>-11.33</v>
          </cell>
          <cell r="Y37" t="str">
            <v xml:space="preserve">  11.  Other - Not Placed</v>
          </cell>
          <cell r="Z37">
            <v>-523.34999999999798</v>
          </cell>
          <cell r="AA37">
            <v>-523.34999999999798</v>
          </cell>
          <cell r="AB37">
            <v>-70.11</v>
          </cell>
          <cell r="AC37">
            <v>-70.11</v>
          </cell>
          <cell r="AD37">
            <v>-593.45999999999799</v>
          </cell>
          <cell r="AE37">
            <v>-593.45999999999799</v>
          </cell>
          <cell r="AG37" t="str">
            <v xml:space="preserve">  11.  Other - Not Placed</v>
          </cell>
          <cell r="AH37">
            <v>-125.33</v>
          </cell>
          <cell r="AI37">
            <v>-125.33</v>
          </cell>
          <cell r="AJ37">
            <v>-7.01</v>
          </cell>
          <cell r="AK37">
            <v>-7.01</v>
          </cell>
          <cell r="AL37">
            <v>-132.34</v>
          </cell>
          <cell r="AM37">
            <v>-132.34</v>
          </cell>
          <cell r="AO37" t="str">
            <v xml:space="preserve">  11.  Other - Not Placed</v>
          </cell>
          <cell r="AP37">
            <v>-13.44</v>
          </cell>
          <cell r="AQ37">
            <v>-13.44</v>
          </cell>
          <cell r="AR37">
            <v>-6.52</v>
          </cell>
          <cell r="AS37">
            <v>-6.52</v>
          </cell>
          <cell r="AT37">
            <v>-19.96</v>
          </cell>
          <cell r="AU37">
            <v>-19.96</v>
          </cell>
          <cell r="AW37" t="str">
            <v xml:space="preserve">  11.  Other - Not Placed</v>
          </cell>
          <cell r="AX37">
            <v>-110.44</v>
          </cell>
          <cell r="AY37">
            <v>-110.44</v>
          </cell>
          <cell r="AZ37">
            <v>-20.28</v>
          </cell>
          <cell r="BA37">
            <v>-20.28</v>
          </cell>
          <cell r="BB37">
            <v>-130.72</v>
          </cell>
          <cell r="BC37">
            <v>-130.72</v>
          </cell>
        </row>
        <row r="39">
          <cell r="A39" t="str">
            <v>C.   Acute Patient Day Information</v>
          </cell>
          <cell r="I39" t="str">
            <v>C.   Acute Patient Day Information</v>
          </cell>
          <cell r="Q39" t="str">
            <v>C.   Acute Patient Day Information</v>
          </cell>
          <cell r="Y39" t="str">
            <v>C.   Acute Patient Day Information</v>
          </cell>
          <cell r="AG39" t="str">
            <v>C.   Acute Patient Day Information</v>
          </cell>
          <cell r="AO39" t="str">
            <v>C.   Acute Patient Day Information</v>
          </cell>
          <cell r="AW39" t="str">
            <v>C.   Acute Patient Day Information</v>
          </cell>
        </row>
        <row r="40">
          <cell r="A40" t="str">
            <v xml:space="preserve">       a.  Admissions</v>
          </cell>
          <cell r="B40">
            <v>5</v>
          </cell>
          <cell r="C40">
            <v>5</v>
          </cell>
          <cell r="D40">
            <v>0</v>
          </cell>
          <cell r="E40">
            <v>0</v>
          </cell>
          <cell r="F40">
            <v>5</v>
          </cell>
          <cell r="G40">
            <v>5</v>
          </cell>
          <cell r="I40" t="str">
            <v xml:space="preserve">       a.  Admissions</v>
          </cell>
          <cell r="J40">
            <v>8</v>
          </cell>
          <cell r="K40">
            <v>8</v>
          </cell>
          <cell r="L40">
            <v>3</v>
          </cell>
          <cell r="M40">
            <v>3</v>
          </cell>
          <cell r="N40">
            <v>11</v>
          </cell>
          <cell r="O40">
            <v>11</v>
          </cell>
          <cell r="Q40" t="str">
            <v xml:space="preserve">       a.  Admissions</v>
          </cell>
          <cell r="R40">
            <v>2</v>
          </cell>
          <cell r="S40">
            <v>2</v>
          </cell>
          <cell r="T40">
            <v>0</v>
          </cell>
          <cell r="U40">
            <v>0</v>
          </cell>
          <cell r="V40">
            <v>2</v>
          </cell>
          <cell r="W40">
            <v>2</v>
          </cell>
          <cell r="Y40" t="str">
            <v xml:space="preserve">       a.  Admissions</v>
          </cell>
          <cell r="Z40">
            <v>247</v>
          </cell>
          <cell r="AA40">
            <v>247</v>
          </cell>
          <cell r="AB40">
            <v>55</v>
          </cell>
          <cell r="AC40">
            <v>55</v>
          </cell>
          <cell r="AD40">
            <v>302</v>
          </cell>
          <cell r="AE40">
            <v>302</v>
          </cell>
          <cell r="AG40" t="str">
            <v xml:space="preserve">       a.  Admissions</v>
          </cell>
          <cell r="AH40">
            <v>41</v>
          </cell>
          <cell r="AI40">
            <v>41</v>
          </cell>
          <cell r="AJ40">
            <v>13</v>
          </cell>
          <cell r="AK40">
            <v>13</v>
          </cell>
          <cell r="AL40">
            <v>54</v>
          </cell>
          <cell r="AM40">
            <v>54</v>
          </cell>
          <cell r="AO40" t="str">
            <v xml:space="preserve">       a.  Admissions</v>
          </cell>
          <cell r="AP40">
            <v>11</v>
          </cell>
          <cell r="AQ40">
            <v>11</v>
          </cell>
          <cell r="AR40">
            <v>4</v>
          </cell>
          <cell r="AS40">
            <v>4</v>
          </cell>
          <cell r="AT40">
            <v>15</v>
          </cell>
          <cell r="AU40">
            <v>15</v>
          </cell>
          <cell r="AW40" t="str">
            <v xml:space="preserve">       a.  Admissions</v>
          </cell>
          <cell r="AX40">
            <v>44</v>
          </cell>
          <cell r="AY40">
            <v>44</v>
          </cell>
          <cell r="AZ40">
            <v>6</v>
          </cell>
          <cell r="BA40">
            <v>6</v>
          </cell>
          <cell r="BB40">
            <v>50</v>
          </cell>
          <cell r="BC40">
            <v>50</v>
          </cell>
        </row>
        <row r="41">
          <cell r="A41" t="str">
            <v xml:space="preserve">       b.  Patient Days</v>
          </cell>
          <cell r="B41">
            <v>32</v>
          </cell>
          <cell r="C41">
            <v>32</v>
          </cell>
          <cell r="D41">
            <v>0</v>
          </cell>
          <cell r="E41">
            <v>0</v>
          </cell>
          <cell r="F41">
            <v>32</v>
          </cell>
          <cell r="G41">
            <v>32</v>
          </cell>
          <cell r="I41" t="str">
            <v xml:space="preserve">       b.  Patient Days</v>
          </cell>
          <cell r="J41">
            <v>52</v>
          </cell>
          <cell r="K41">
            <v>52</v>
          </cell>
          <cell r="L41">
            <v>11</v>
          </cell>
          <cell r="M41">
            <v>11</v>
          </cell>
          <cell r="N41">
            <v>63</v>
          </cell>
          <cell r="O41">
            <v>63</v>
          </cell>
          <cell r="Q41" t="str">
            <v xml:space="preserve">       b.  Patient Days</v>
          </cell>
          <cell r="R41">
            <v>17</v>
          </cell>
          <cell r="S41">
            <v>17</v>
          </cell>
          <cell r="T41">
            <v>0</v>
          </cell>
          <cell r="U41">
            <v>0</v>
          </cell>
          <cell r="V41">
            <v>17</v>
          </cell>
          <cell r="W41">
            <v>17</v>
          </cell>
          <cell r="Y41" t="str">
            <v xml:space="preserve">       b.  Patient Days</v>
          </cell>
          <cell r="Z41">
            <v>1247</v>
          </cell>
          <cell r="AA41">
            <v>1247</v>
          </cell>
          <cell r="AB41">
            <v>327</v>
          </cell>
          <cell r="AC41">
            <v>327</v>
          </cell>
          <cell r="AD41">
            <v>1574</v>
          </cell>
          <cell r="AE41">
            <v>1574</v>
          </cell>
          <cell r="AG41" t="str">
            <v xml:space="preserve">       b.  Patient Days</v>
          </cell>
          <cell r="AH41">
            <v>210</v>
          </cell>
          <cell r="AI41">
            <v>210</v>
          </cell>
          <cell r="AJ41">
            <v>86</v>
          </cell>
          <cell r="AK41">
            <v>86</v>
          </cell>
          <cell r="AL41">
            <v>296</v>
          </cell>
          <cell r="AM41">
            <v>296</v>
          </cell>
          <cell r="AO41" t="str">
            <v xml:space="preserve">       b.  Patient Days</v>
          </cell>
          <cell r="AP41">
            <v>29</v>
          </cell>
          <cell r="AQ41">
            <v>29</v>
          </cell>
          <cell r="AR41">
            <v>22</v>
          </cell>
          <cell r="AS41">
            <v>22</v>
          </cell>
          <cell r="AT41">
            <v>51</v>
          </cell>
          <cell r="AU41">
            <v>51</v>
          </cell>
          <cell r="AW41" t="str">
            <v xml:space="preserve">       b.  Patient Days</v>
          </cell>
          <cell r="AX41">
            <v>314</v>
          </cell>
          <cell r="AY41">
            <v>314</v>
          </cell>
          <cell r="AZ41">
            <v>28</v>
          </cell>
          <cell r="BA41">
            <v>28</v>
          </cell>
          <cell r="BB41">
            <v>342</v>
          </cell>
          <cell r="BC41">
            <v>342</v>
          </cell>
        </row>
        <row r="42">
          <cell r="A42" t="str">
            <v xml:space="preserve">       c.  Discharges</v>
          </cell>
          <cell r="B42">
            <v>7</v>
          </cell>
          <cell r="C42">
            <v>7</v>
          </cell>
          <cell r="D42">
            <v>0</v>
          </cell>
          <cell r="E42">
            <v>0</v>
          </cell>
          <cell r="F42">
            <v>7</v>
          </cell>
          <cell r="G42">
            <v>7</v>
          </cell>
          <cell r="I42" t="str">
            <v xml:space="preserve">       c.  Discharges</v>
          </cell>
          <cell r="J42">
            <v>6</v>
          </cell>
          <cell r="K42">
            <v>6</v>
          </cell>
          <cell r="L42">
            <v>4</v>
          </cell>
          <cell r="M42">
            <v>4</v>
          </cell>
          <cell r="N42">
            <v>10</v>
          </cell>
          <cell r="O42">
            <v>10</v>
          </cell>
          <cell r="Q42" t="str">
            <v xml:space="preserve">       c.  Discharges</v>
          </cell>
          <cell r="R42">
            <v>1</v>
          </cell>
          <cell r="S42">
            <v>1</v>
          </cell>
          <cell r="T42">
            <v>0</v>
          </cell>
          <cell r="U42">
            <v>0</v>
          </cell>
          <cell r="V42">
            <v>1</v>
          </cell>
          <cell r="W42">
            <v>1</v>
          </cell>
          <cell r="Y42" t="str">
            <v xml:space="preserve">       c.  Discharges</v>
          </cell>
          <cell r="Z42">
            <v>227</v>
          </cell>
          <cell r="AA42">
            <v>227</v>
          </cell>
          <cell r="AB42">
            <v>54</v>
          </cell>
          <cell r="AC42">
            <v>54</v>
          </cell>
          <cell r="AD42">
            <v>281</v>
          </cell>
          <cell r="AE42">
            <v>281</v>
          </cell>
          <cell r="AG42" t="str">
            <v xml:space="preserve">       c.  Discharges</v>
          </cell>
          <cell r="AH42">
            <v>39</v>
          </cell>
          <cell r="AI42">
            <v>39</v>
          </cell>
          <cell r="AJ42">
            <v>11</v>
          </cell>
          <cell r="AK42">
            <v>11</v>
          </cell>
          <cell r="AL42">
            <v>50</v>
          </cell>
          <cell r="AM42">
            <v>50</v>
          </cell>
          <cell r="AO42" t="str">
            <v xml:space="preserve">       c.  Discharges</v>
          </cell>
          <cell r="AP42">
            <v>11</v>
          </cell>
          <cell r="AQ42">
            <v>11</v>
          </cell>
          <cell r="AR42">
            <v>2</v>
          </cell>
          <cell r="AS42">
            <v>2</v>
          </cell>
          <cell r="AT42">
            <v>13</v>
          </cell>
          <cell r="AU42">
            <v>13</v>
          </cell>
          <cell r="AW42" t="str">
            <v xml:space="preserve">       c.  Discharges</v>
          </cell>
          <cell r="AX42">
            <v>43</v>
          </cell>
          <cell r="AY42">
            <v>43</v>
          </cell>
          <cell r="AZ42">
            <v>6</v>
          </cell>
          <cell r="BA42">
            <v>6</v>
          </cell>
          <cell r="BB42">
            <v>49</v>
          </cell>
          <cell r="BC42">
            <v>49</v>
          </cell>
        </row>
        <row r="43">
          <cell r="A43" t="str">
            <v xml:space="preserve">       d.  Discharge Days</v>
          </cell>
          <cell r="B43">
            <v>32</v>
          </cell>
          <cell r="C43">
            <v>32</v>
          </cell>
          <cell r="D43">
            <v>0</v>
          </cell>
          <cell r="E43">
            <v>0</v>
          </cell>
          <cell r="F43">
            <v>32</v>
          </cell>
          <cell r="G43">
            <v>32</v>
          </cell>
          <cell r="I43" t="str">
            <v xml:space="preserve">       d.  Discharge Days</v>
          </cell>
          <cell r="J43">
            <v>35</v>
          </cell>
          <cell r="K43">
            <v>35</v>
          </cell>
          <cell r="L43">
            <v>11</v>
          </cell>
          <cell r="M43">
            <v>11</v>
          </cell>
          <cell r="N43">
            <v>46</v>
          </cell>
          <cell r="O43">
            <v>46</v>
          </cell>
          <cell r="Q43" t="str">
            <v xml:space="preserve">       d.  Discharge Days</v>
          </cell>
          <cell r="R43">
            <v>3</v>
          </cell>
          <cell r="S43">
            <v>3</v>
          </cell>
          <cell r="T43">
            <v>0</v>
          </cell>
          <cell r="U43">
            <v>0</v>
          </cell>
          <cell r="V43">
            <v>3</v>
          </cell>
          <cell r="W43">
            <v>3</v>
          </cell>
          <cell r="Y43" t="str">
            <v xml:space="preserve">       d.  Discharge Days</v>
          </cell>
          <cell r="Z43">
            <v>948</v>
          </cell>
          <cell r="AA43">
            <v>948</v>
          </cell>
          <cell r="AB43">
            <v>274</v>
          </cell>
          <cell r="AC43">
            <v>274</v>
          </cell>
          <cell r="AD43">
            <v>1222</v>
          </cell>
          <cell r="AE43">
            <v>1222</v>
          </cell>
          <cell r="AG43" t="str">
            <v xml:space="preserve">       d.  Discharge Days</v>
          </cell>
          <cell r="AH43">
            <v>171</v>
          </cell>
          <cell r="AI43">
            <v>171</v>
          </cell>
          <cell r="AJ43">
            <v>66</v>
          </cell>
          <cell r="AK43">
            <v>66</v>
          </cell>
          <cell r="AL43">
            <v>237</v>
          </cell>
          <cell r="AM43">
            <v>237</v>
          </cell>
          <cell r="AO43" t="str">
            <v xml:space="preserve">       d.  Discharge Days</v>
          </cell>
          <cell r="AP43">
            <v>27</v>
          </cell>
          <cell r="AQ43">
            <v>27</v>
          </cell>
          <cell r="AR43">
            <v>3</v>
          </cell>
          <cell r="AS43">
            <v>3</v>
          </cell>
          <cell r="AT43">
            <v>30</v>
          </cell>
          <cell r="AU43">
            <v>30</v>
          </cell>
          <cell r="AW43" t="str">
            <v xml:space="preserve">       d.  Discharge Days</v>
          </cell>
          <cell r="AX43">
            <v>225</v>
          </cell>
          <cell r="AY43">
            <v>225</v>
          </cell>
          <cell r="AZ43">
            <v>28</v>
          </cell>
          <cell r="BA43">
            <v>28</v>
          </cell>
          <cell r="BB43">
            <v>253</v>
          </cell>
          <cell r="BC43">
            <v>253</v>
          </cell>
        </row>
        <row r="44">
          <cell r="A44" t="str">
            <v xml:space="preserve">       e.  Average Length of Stay</v>
          </cell>
          <cell r="B44">
            <v>4.5714285714285712</v>
          </cell>
          <cell r="C44">
            <v>4.5714285714285712</v>
          </cell>
          <cell r="D44">
            <v>0</v>
          </cell>
          <cell r="E44">
            <v>0</v>
          </cell>
          <cell r="F44">
            <v>4.5714285714285712</v>
          </cell>
          <cell r="G44">
            <v>4.5714285714285712</v>
          </cell>
          <cell r="I44" t="str">
            <v xml:space="preserve">       e.  Average Length of Stay</v>
          </cell>
          <cell r="J44">
            <v>5.833333333333333</v>
          </cell>
          <cell r="K44">
            <v>5.833333333333333</v>
          </cell>
          <cell r="L44">
            <v>2.75</v>
          </cell>
          <cell r="M44">
            <v>2.75</v>
          </cell>
          <cell r="N44">
            <v>4.5999999999999996</v>
          </cell>
          <cell r="O44">
            <v>4.5999999999999996</v>
          </cell>
          <cell r="Q44" t="str">
            <v xml:space="preserve">       e.  Average Length of Stay</v>
          </cell>
          <cell r="R44">
            <v>3</v>
          </cell>
          <cell r="S44">
            <v>3</v>
          </cell>
          <cell r="T44">
            <v>0</v>
          </cell>
          <cell r="U44">
            <v>0</v>
          </cell>
          <cell r="V44">
            <v>3</v>
          </cell>
          <cell r="W44">
            <v>3</v>
          </cell>
          <cell r="Y44" t="str">
            <v xml:space="preserve">       e.  Average Length of Stay</v>
          </cell>
          <cell r="Z44">
            <v>4.176211453744493</v>
          </cell>
          <cell r="AA44">
            <v>4.176211453744493</v>
          </cell>
          <cell r="AB44">
            <v>5.0740740740740744</v>
          </cell>
          <cell r="AC44">
            <v>5.0740740740740744</v>
          </cell>
          <cell r="AD44">
            <v>4.3487544483985765</v>
          </cell>
          <cell r="AE44">
            <v>4.3487544483985765</v>
          </cell>
          <cell r="AG44" t="str">
            <v xml:space="preserve">       e.  Average Length of Stay</v>
          </cell>
          <cell r="AH44">
            <v>4.384615384615385</v>
          </cell>
          <cell r="AI44">
            <v>4.384615384615385</v>
          </cell>
          <cell r="AJ44">
            <v>6</v>
          </cell>
          <cell r="AK44">
            <v>6</v>
          </cell>
          <cell r="AL44">
            <v>4.74</v>
          </cell>
          <cell r="AM44">
            <v>4.74</v>
          </cell>
          <cell r="AO44" t="str">
            <v xml:space="preserve">       e.  Average Length of Stay</v>
          </cell>
          <cell r="AP44">
            <v>2.4545454545454546</v>
          </cell>
          <cell r="AQ44">
            <v>2.4545454545454546</v>
          </cell>
          <cell r="AR44">
            <v>1.5</v>
          </cell>
          <cell r="AS44">
            <v>1.5</v>
          </cell>
          <cell r="AT44">
            <v>2.3076923076923075</v>
          </cell>
          <cell r="AU44">
            <v>2.3076923076923075</v>
          </cell>
          <cell r="AW44" t="str">
            <v xml:space="preserve">       e.  Average Length of Stay</v>
          </cell>
          <cell r="AX44">
            <v>5.2325581395348841</v>
          </cell>
          <cell r="AY44">
            <v>5.2325581395348841</v>
          </cell>
          <cell r="AZ44">
            <v>4.666666666666667</v>
          </cell>
          <cell r="BA44">
            <v>4.666666666666667</v>
          </cell>
          <cell r="BB44">
            <v>5.1632653061224492</v>
          </cell>
          <cell r="BC44">
            <v>5.1632653061224492</v>
          </cell>
        </row>
        <row r="46">
          <cell r="A46" t="str">
            <v>D.   Emergency Room Visits</v>
          </cell>
          <cell r="B46">
            <v>4</v>
          </cell>
          <cell r="C46">
            <v>4</v>
          </cell>
          <cell r="D46">
            <v>1</v>
          </cell>
          <cell r="E46">
            <v>1</v>
          </cell>
          <cell r="F46">
            <v>5</v>
          </cell>
          <cell r="G46">
            <v>5</v>
          </cell>
          <cell r="I46" t="str">
            <v>D.   Emergency Room Visits</v>
          </cell>
          <cell r="J46">
            <v>7</v>
          </cell>
          <cell r="K46">
            <v>7</v>
          </cell>
          <cell r="L46">
            <v>2</v>
          </cell>
          <cell r="M46">
            <v>2</v>
          </cell>
          <cell r="N46">
            <v>9</v>
          </cell>
          <cell r="O46">
            <v>9</v>
          </cell>
          <cell r="Q46" t="str">
            <v>D.   Emergency Room Visits</v>
          </cell>
          <cell r="R46">
            <v>4</v>
          </cell>
          <cell r="S46">
            <v>4</v>
          </cell>
          <cell r="T46">
            <v>1</v>
          </cell>
          <cell r="U46">
            <v>1</v>
          </cell>
          <cell r="V46">
            <v>5</v>
          </cell>
          <cell r="W46">
            <v>5</v>
          </cell>
          <cell r="Y46" t="str">
            <v>D.   Emergency Room Visits</v>
          </cell>
          <cell r="Z46">
            <v>73</v>
          </cell>
          <cell r="AA46">
            <v>73</v>
          </cell>
          <cell r="AB46">
            <v>31</v>
          </cell>
          <cell r="AC46">
            <v>31</v>
          </cell>
          <cell r="AD46">
            <v>104</v>
          </cell>
          <cell r="AE46">
            <v>104</v>
          </cell>
          <cell r="AG46" t="str">
            <v>D.   Emergency Room Visits</v>
          </cell>
          <cell r="AH46">
            <v>31</v>
          </cell>
          <cell r="AI46">
            <v>31</v>
          </cell>
          <cell r="AJ46">
            <v>9</v>
          </cell>
          <cell r="AK46">
            <v>9</v>
          </cell>
          <cell r="AL46">
            <v>40</v>
          </cell>
          <cell r="AM46">
            <v>40</v>
          </cell>
          <cell r="AO46" t="str">
            <v>D.   Emergency Room Visits</v>
          </cell>
          <cell r="AP46">
            <v>7</v>
          </cell>
          <cell r="AQ46">
            <v>7</v>
          </cell>
          <cell r="AR46">
            <v>4</v>
          </cell>
          <cell r="AS46">
            <v>4</v>
          </cell>
          <cell r="AT46">
            <v>11</v>
          </cell>
          <cell r="AU46">
            <v>11</v>
          </cell>
          <cell r="AW46" t="str">
            <v>D.   Emergency Room Visits</v>
          </cell>
          <cell r="AX46">
            <v>13</v>
          </cell>
          <cell r="AY46">
            <v>13</v>
          </cell>
          <cell r="AZ46">
            <v>0</v>
          </cell>
          <cell r="BA46">
            <v>0</v>
          </cell>
          <cell r="BB46">
            <v>13</v>
          </cell>
          <cell r="BC46">
            <v>13</v>
          </cell>
        </row>
        <row r="50">
          <cell r="A50" t="str">
            <v>Program Contractor Financial Reporting Systems - Report #11A Utilization Data Report by County</v>
          </cell>
          <cell r="I50" t="str">
            <v>Program Contractor Financial Reporting Systems - Report #11A Utilization Data Report by County</v>
          </cell>
          <cell r="Q50" t="str">
            <v>Program Contractor Financial Reporting Systems - Report #11A Utilization Data Report by County</v>
          </cell>
          <cell r="Y50" t="str">
            <v>Program Contractor Financial Reporting Systems - Report #11A Utilization Data Report by County</v>
          </cell>
          <cell r="AG50" t="str">
            <v>Program Contractor Financial Reporting Systems - Report #11A Utilization Data Report by County</v>
          </cell>
          <cell r="AO50" t="str">
            <v>Program Contractor Financial Reporting Systems - Report #11A Utilization Data Report by County</v>
          </cell>
          <cell r="AW50" t="str">
            <v>Program Contractor Financial Reporting Systems - Report #11A Utilization Data Report by County</v>
          </cell>
        </row>
        <row r="52">
          <cell r="A52" t="str">
            <v>Statement for Program Contractor 110049 - Evercare of Arizona, Inc.</v>
          </cell>
          <cell r="F52" t="str">
            <v>County:</v>
          </cell>
          <cell r="G52" t="str">
            <v>Apache</v>
          </cell>
          <cell r="I52" t="str">
            <v>Statement for Program Contractor 110049 - Evercare of Arizona, Inc.</v>
          </cell>
          <cell r="N52" t="str">
            <v>County:</v>
          </cell>
          <cell r="O52" t="str">
            <v>Coconino</v>
          </cell>
          <cell r="Q52" t="str">
            <v>Statement for Program Contractor 110049 - Evercare of Arizona, Inc.</v>
          </cell>
          <cell r="V52" t="str">
            <v>County:</v>
          </cell>
          <cell r="W52" t="str">
            <v>La Paz</v>
          </cell>
          <cell r="Y52" t="str">
            <v>Statement for Program Contractor 110049 - Evercare of Arizona, Inc.</v>
          </cell>
          <cell r="AD52" t="str">
            <v>County:</v>
          </cell>
          <cell r="AE52" t="str">
            <v>Maricopa</v>
          </cell>
          <cell r="AG52" t="str">
            <v>Statement for Program Contractor 110049 - Evercare of Arizona, Inc.</v>
          </cell>
          <cell r="AL52" t="str">
            <v>County:</v>
          </cell>
          <cell r="AM52" t="str">
            <v>Mohave</v>
          </cell>
          <cell r="AO52" t="str">
            <v>Statement for Program Contractor 110049 - Evercare of Arizona, Inc.</v>
          </cell>
          <cell r="AT52" t="str">
            <v>County:</v>
          </cell>
          <cell r="AU52" t="str">
            <v>Navajo</v>
          </cell>
          <cell r="AW52" t="str">
            <v>Statement for Program Contractor 110049 - Evercare of Arizona, Inc.</v>
          </cell>
          <cell r="BB52" t="str">
            <v>County:</v>
          </cell>
          <cell r="BC52" t="str">
            <v>Yuma</v>
          </cell>
        </row>
        <row r="54">
          <cell r="A54" t="str">
            <v>For the Month ending 11/30/2005 in the Fiscal Year ending 9/30/2006</v>
          </cell>
          <cell r="F54" t="str">
            <v>Page 2 of 21</v>
          </cell>
          <cell r="I54" t="str">
            <v>For the Month ending 11/30/2005 in the Fiscal Year ending 9/30/2006</v>
          </cell>
          <cell r="N54" t="str">
            <v>Page 5 of 21</v>
          </cell>
          <cell r="Q54" t="str">
            <v>For the Month ending 11/30/2005 in the Fiscal Year ending 9/30/2006</v>
          </cell>
          <cell r="V54" t="str">
            <v>Page 8 of 21</v>
          </cell>
          <cell r="Y54" t="str">
            <v>For the Month ending 11/30/2005 in the Fiscal Year ending 9/30/2006</v>
          </cell>
          <cell r="AD54" t="str">
            <v>Page 11 of 21</v>
          </cell>
          <cell r="AG54" t="str">
            <v>For the Month ending 11/30/2005 in the Fiscal Year ending 9/30/2006</v>
          </cell>
          <cell r="AL54" t="str">
            <v>Page 14 of 21</v>
          </cell>
          <cell r="AO54" t="str">
            <v>For the Month ending 11/30/2005 in the Fiscal Year ending 9/30/2006</v>
          </cell>
          <cell r="AT54" t="str">
            <v>Page 17 of 21</v>
          </cell>
          <cell r="AW54" t="str">
            <v>For the Month ending 11/30/2005 in the Fiscal Year ending 9/30/2006</v>
          </cell>
          <cell r="BB54" t="str">
            <v>Page 20 of 21</v>
          </cell>
        </row>
        <row r="57">
          <cell r="A57" t="str">
            <v>Utilization Data Report by County</v>
          </cell>
          <cell r="I57" t="str">
            <v>Utilization Data Report by County</v>
          </cell>
          <cell r="Q57" t="str">
            <v>Utilization Data Report by County</v>
          </cell>
          <cell r="Y57" t="str">
            <v>Utilization Data Report by County</v>
          </cell>
          <cell r="AG57" t="str">
            <v>Utilization Data Report by County</v>
          </cell>
          <cell r="AO57" t="str">
            <v>Utilization Data Report by County</v>
          </cell>
          <cell r="AW57" t="str">
            <v>Utilization Data Report by County</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cell r="AH59" t="str">
            <v>MEDICARE</v>
          </cell>
          <cell r="AJ59" t="str">
            <v>NON-MEDICARE</v>
          </cell>
          <cell r="AL59" t="str">
            <v>TOTAL</v>
          </cell>
          <cell r="AP59" t="str">
            <v>MEDICARE</v>
          </cell>
          <cell r="AR59" t="str">
            <v>NON-MEDICARE</v>
          </cell>
          <cell r="AT59" t="str">
            <v>TOTAL</v>
          </cell>
          <cell r="AX59" t="str">
            <v>MEDICARE</v>
          </cell>
          <cell r="AZ59" t="str">
            <v>NON-MEDICARE</v>
          </cell>
          <cell r="BB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cell r="AG60" t="str">
            <v>ITEM DESCRIPTION</v>
          </cell>
          <cell r="AH60" t="str">
            <v>Current</v>
          </cell>
          <cell r="AJ60" t="str">
            <v>Current</v>
          </cell>
          <cell r="AL60" t="str">
            <v>Current</v>
          </cell>
          <cell r="AO60" t="str">
            <v>ITEM DESCRIPTION</v>
          </cell>
          <cell r="AP60" t="str">
            <v>Current</v>
          </cell>
          <cell r="AR60" t="str">
            <v>Current</v>
          </cell>
          <cell r="AT60" t="str">
            <v>Current</v>
          </cell>
          <cell r="AW60" t="str">
            <v>ITEM DESCRIPTION</v>
          </cell>
          <cell r="AX60" t="str">
            <v>Current</v>
          </cell>
          <cell r="AZ60" t="str">
            <v>Current</v>
          </cell>
          <cell r="BB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cell r="AH61" t="str">
            <v>Period</v>
          </cell>
          <cell r="AI61" t="str">
            <v>YTD</v>
          </cell>
          <cell r="AJ61" t="str">
            <v>Period</v>
          </cell>
          <cell r="AK61" t="str">
            <v>YTD</v>
          </cell>
          <cell r="AL61" t="str">
            <v>Period</v>
          </cell>
          <cell r="AM61" t="str">
            <v>YTD</v>
          </cell>
          <cell r="AP61" t="str">
            <v>Period</v>
          </cell>
          <cell r="AQ61" t="str">
            <v>YTD</v>
          </cell>
          <cell r="AR61" t="str">
            <v>Period</v>
          </cell>
          <cell r="AS61" t="str">
            <v>YTD</v>
          </cell>
          <cell r="AT61" t="str">
            <v>Period</v>
          </cell>
          <cell r="AU61" t="str">
            <v>YTD</v>
          </cell>
          <cell r="AX61" t="str">
            <v>Period</v>
          </cell>
          <cell r="AY61" t="str">
            <v>YTD</v>
          </cell>
          <cell r="AZ61" t="str">
            <v>Period</v>
          </cell>
          <cell r="BA61" t="str">
            <v>YTD</v>
          </cell>
          <cell r="BB61" t="str">
            <v>Period</v>
          </cell>
          <cell r="BC61" t="str">
            <v>YTD</v>
          </cell>
        </row>
        <row r="62">
          <cell r="A62" t="str">
            <v>A.   Enrollees (At End of Period)</v>
          </cell>
          <cell r="B62">
            <v>59</v>
          </cell>
          <cell r="D62">
            <v>18</v>
          </cell>
          <cell r="F62">
            <v>77</v>
          </cell>
          <cell r="I62" t="str">
            <v>A.   Enrollees (At End of Period)</v>
          </cell>
          <cell r="J62">
            <v>145</v>
          </cell>
          <cell r="L62">
            <v>37</v>
          </cell>
          <cell r="N62">
            <v>182</v>
          </cell>
          <cell r="Q62" t="str">
            <v>A.   Enrollees (At End of Period)</v>
          </cell>
          <cell r="R62">
            <v>65</v>
          </cell>
          <cell r="T62">
            <v>5</v>
          </cell>
          <cell r="V62">
            <v>70</v>
          </cell>
          <cell r="Y62" t="str">
            <v>A.   Enrollees (At End of Period)</v>
          </cell>
          <cell r="Z62">
            <v>4553</v>
          </cell>
          <cell r="AB62">
            <v>644</v>
          </cell>
          <cell r="AD62">
            <v>5197</v>
          </cell>
          <cell r="AG62" t="str">
            <v>A.   Enrollees (At End of Period)</v>
          </cell>
          <cell r="AH62">
            <v>717</v>
          </cell>
          <cell r="AJ62">
            <v>98</v>
          </cell>
          <cell r="AL62">
            <v>815</v>
          </cell>
          <cell r="AO62" t="str">
            <v>A.   Enrollees (At End of Period)</v>
          </cell>
          <cell r="AP62">
            <v>176</v>
          </cell>
          <cell r="AR62">
            <v>47</v>
          </cell>
          <cell r="AT62">
            <v>223</v>
          </cell>
          <cell r="AW62" t="str">
            <v>A.   Enrollees (At End of Period)</v>
          </cell>
          <cell r="AX62">
            <v>503</v>
          </cell>
          <cell r="AZ62">
            <v>101</v>
          </cell>
          <cell r="BB62">
            <v>604</v>
          </cell>
        </row>
        <row r="64">
          <cell r="A64" t="str">
            <v>B.   Member Months (Unduplicated)</v>
          </cell>
          <cell r="B64">
            <v>59.900000000000006</v>
          </cell>
          <cell r="C64">
            <v>133.63669999999996</v>
          </cell>
          <cell r="D64">
            <v>16.5</v>
          </cell>
          <cell r="E64">
            <v>37.33</v>
          </cell>
          <cell r="F64">
            <v>76.400000000000006</v>
          </cell>
          <cell r="G64">
            <v>170.96669999999995</v>
          </cell>
          <cell r="I64" t="str">
            <v>B.   Member Months (Unduplicated)</v>
          </cell>
          <cell r="J64">
            <v>146.91</v>
          </cell>
          <cell r="K64">
            <v>360.95929999999998</v>
          </cell>
          <cell r="L64">
            <v>35.610000000000007</v>
          </cell>
          <cell r="M64">
            <v>73.61</v>
          </cell>
          <cell r="N64">
            <v>182.52</v>
          </cell>
          <cell r="O64">
            <v>434.5693</v>
          </cell>
          <cell r="Q64" t="str">
            <v>B.   Member Months (Unduplicated)</v>
          </cell>
          <cell r="R64">
            <v>69.53540000000001</v>
          </cell>
          <cell r="S64">
            <v>156.04730000000001</v>
          </cell>
          <cell r="T64">
            <v>5.07</v>
          </cell>
          <cell r="U64">
            <v>11.07</v>
          </cell>
          <cell r="V64">
            <v>74.605400000000003</v>
          </cell>
          <cell r="W64">
            <v>167.1173</v>
          </cell>
          <cell r="Y64" t="str">
            <v>B.   Member Months (Unduplicated)</v>
          </cell>
          <cell r="Z64">
            <v>4759.1013999999986</v>
          </cell>
          <cell r="AA64">
            <v>8671.2691000000013</v>
          </cell>
          <cell r="AB64">
            <v>610.07009999999991</v>
          </cell>
          <cell r="AC64">
            <v>1357.4486999999999</v>
          </cell>
          <cell r="AD64">
            <v>5369.1714999999986</v>
          </cell>
          <cell r="AE64">
            <v>10028.717800000002</v>
          </cell>
          <cell r="AG64" t="str">
            <v>B.   Member Months (Unduplicated)</v>
          </cell>
          <cell r="AH64">
            <v>717.58</v>
          </cell>
          <cell r="AI64">
            <v>1739.1184000000001</v>
          </cell>
          <cell r="AJ64">
            <v>104.63329999999999</v>
          </cell>
          <cell r="AK64">
            <v>239.7533</v>
          </cell>
          <cell r="AL64">
            <v>822.2133</v>
          </cell>
          <cell r="AM64">
            <v>1978.8717000000001</v>
          </cell>
          <cell r="AO64" t="str">
            <v>B.   Member Months (Unduplicated)</v>
          </cell>
          <cell r="AP64">
            <v>177.16989999999998</v>
          </cell>
          <cell r="AQ64">
            <v>411.38479999999993</v>
          </cell>
          <cell r="AR64">
            <v>46.77</v>
          </cell>
          <cell r="AS64">
            <v>100.42230000000001</v>
          </cell>
          <cell r="AT64">
            <v>223.93989999999999</v>
          </cell>
          <cell r="AU64">
            <v>511.80709999999993</v>
          </cell>
          <cell r="AW64" t="str">
            <v>B.   Member Months (Unduplicated)</v>
          </cell>
          <cell r="AX64">
            <v>498.78990000000005</v>
          </cell>
          <cell r="AY64">
            <v>1177.2500999999997</v>
          </cell>
          <cell r="AZ64">
            <v>101.5</v>
          </cell>
          <cell r="BA64">
            <v>231.60999999999996</v>
          </cell>
          <cell r="BB64">
            <v>600.28989999999999</v>
          </cell>
          <cell r="BC64">
            <v>1408.8600999999996</v>
          </cell>
        </row>
        <row r="65">
          <cell r="A65" t="str">
            <v xml:space="preserve">   Institutional Member Months Total</v>
          </cell>
          <cell r="B65">
            <v>5.8</v>
          </cell>
          <cell r="C65">
            <v>9.6999999999999993</v>
          </cell>
          <cell r="D65">
            <v>3</v>
          </cell>
          <cell r="E65">
            <v>7.5600000000000005</v>
          </cell>
          <cell r="F65">
            <v>8.8000000000000007</v>
          </cell>
          <cell r="G65">
            <v>17.259999999999998</v>
          </cell>
          <cell r="I65" t="str">
            <v xml:space="preserve">   Institutional Member Months Total</v>
          </cell>
          <cell r="J65">
            <v>56.47</v>
          </cell>
          <cell r="K65">
            <v>134.87</v>
          </cell>
          <cell r="L65">
            <v>4.5999999999999996</v>
          </cell>
          <cell r="M65">
            <v>8.6</v>
          </cell>
          <cell r="N65">
            <v>61.07</v>
          </cell>
          <cell r="O65">
            <v>143.47</v>
          </cell>
          <cell r="Q65" t="str">
            <v xml:space="preserve">   Institutional Member Months Total</v>
          </cell>
          <cell r="R65">
            <v>35.830000000000005</v>
          </cell>
          <cell r="S65">
            <v>85.12</v>
          </cell>
          <cell r="T65">
            <v>1</v>
          </cell>
          <cell r="U65">
            <v>2</v>
          </cell>
          <cell r="V65">
            <v>36.830000000000005</v>
          </cell>
          <cell r="W65">
            <v>87.12</v>
          </cell>
          <cell r="Y65" t="str">
            <v xml:space="preserve">   Institutional Member Months Total</v>
          </cell>
          <cell r="Z65">
            <v>1603.49</v>
          </cell>
          <cell r="AA65">
            <v>3792.23</v>
          </cell>
          <cell r="AB65">
            <v>142.43999999999997</v>
          </cell>
          <cell r="AC65">
            <v>314.99999999999994</v>
          </cell>
          <cell r="AD65">
            <v>1745.93</v>
          </cell>
          <cell r="AE65">
            <v>4107.2299999999996</v>
          </cell>
          <cell r="AG65" t="str">
            <v xml:space="preserve">   Institutional Member Months Total</v>
          </cell>
          <cell r="AH65">
            <v>386.22</v>
          </cell>
          <cell r="AI65">
            <v>948.72</v>
          </cell>
          <cell r="AJ65">
            <v>27.27</v>
          </cell>
          <cell r="AK65">
            <v>64.84</v>
          </cell>
          <cell r="AL65">
            <v>413.49</v>
          </cell>
          <cell r="AM65">
            <v>1013.5600000000001</v>
          </cell>
          <cell r="AO65" t="str">
            <v xml:space="preserve">   Institutional Member Months Total</v>
          </cell>
          <cell r="AP65">
            <v>33.349999999999994</v>
          </cell>
          <cell r="AQ65">
            <v>76.64</v>
          </cell>
          <cell r="AR65">
            <v>8</v>
          </cell>
          <cell r="AS65">
            <v>17.259999999999998</v>
          </cell>
          <cell r="AT65">
            <v>41.349999999999994</v>
          </cell>
          <cell r="AU65">
            <v>93.9</v>
          </cell>
          <cell r="AW65" t="str">
            <v xml:space="preserve">   Institutional Member Months Total</v>
          </cell>
          <cell r="AX65">
            <v>259.62</v>
          </cell>
          <cell r="AY65">
            <v>618.4</v>
          </cell>
          <cell r="AZ65">
            <v>36.5</v>
          </cell>
          <cell r="BA65">
            <v>77.819999999999993</v>
          </cell>
          <cell r="BB65">
            <v>296.12</v>
          </cell>
          <cell r="BC65">
            <v>696.22</v>
          </cell>
        </row>
        <row r="66">
          <cell r="A66" t="str">
            <v xml:space="preserve">   1.  Level I</v>
          </cell>
          <cell r="B66">
            <v>2.2999999999999998</v>
          </cell>
          <cell r="C66">
            <v>4.8099999999999996</v>
          </cell>
          <cell r="D66">
            <v>2</v>
          </cell>
          <cell r="E66">
            <v>5.5600000000000005</v>
          </cell>
          <cell r="F66">
            <v>4.3</v>
          </cell>
          <cell r="G66">
            <v>10.370000000000001</v>
          </cell>
          <cell r="I66" t="str">
            <v xml:space="preserve">   1.  Level I</v>
          </cell>
          <cell r="J66">
            <v>27.4</v>
          </cell>
          <cell r="K66">
            <v>61.69</v>
          </cell>
          <cell r="L66">
            <v>3.1</v>
          </cell>
          <cell r="M66">
            <v>6.1</v>
          </cell>
          <cell r="N66">
            <v>30.5</v>
          </cell>
          <cell r="O66">
            <v>67.789999999999992</v>
          </cell>
          <cell r="Q66" t="str">
            <v xml:space="preserve">   1.  Level I</v>
          </cell>
          <cell r="R66">
            <v>23.03</v>
          </cell>
          <cell r="S66">
            <v>54.16</v>
          </cell>
          <cell r="T66">
            <v>0</v>
          </cell>
          <cell r="U66">
            <v>0</v>
          </cell>
          <cell r="V66">
            <v>23.03</v>
          </cell>
          <cell r="W66">
            <v>54.16</v>
          </cell>
          <cell r="Y66" t="str">
            <v xml:space="preserve">   1.  Level I</v>
          </cell>
          <cell r="Z66">
            <v>1089.43</v>
          </cell>
          <cell r="AA66">
            <v>2572.1800000000003</v>
          </cell>
          <cell r="AB66">
            <v>88.74</v>
          </cell>
          <cell r="AC66">
            <v>196.5</v>
          </cell>
          <cell r="AD66">
            <v>1178.17</v>
          </cell>
          <cell r="AE66">
            <v>2768.6800000000003</v>
          </cell>
          <cell r="AG66" t="str">
            <v xml:space="preserve">   1.  Level I</v>
          </cell>
          <cell r="AH66">
            <v>176</v>
          </cell>
          <cell r="AI66">
            <v>429.15</v>
          </cell>
          <cell r="AJ66">
            <v>13</v>
          </cell>
          <cell r="AK66">
            <v>33.1</v>
          </cell>
          <cell r="AL66">
            <v>189</v>
          </cell>
          <cell r="AM66">
            <v>462.25</v>
          </cell>
          <cell r="AO66" t="str">
            <v xml:space="preserve">   1.  Level I</v>
          </cell>
          <cell r="AP66">
            <v>18.02</v>
          </cell>
          <cell r="AQ66">
            <v>43.989999999999995</v>
          </cell>
          <cell r="AR66">
            <v>7</v>
          </cell>
          <cell r="AS66">
            <v>15.26</v>
          </cell>
          <cell r="AT66">
            <v>25.02</v>
          </cell>
          <cell r="AU66">
            <v>59.249999999999993</v>
          </cell>
          <cell r="AW66" t="str">
            <v xml:space="preserve">   1.  Level I</v>
          </cell>
          <cell r="AX66">
            <v>139.79</v>
          </cell>
          <cell r="AY66">
            <v>329.45</v>
          </cell>
          <cell r="AZ66">
            <v>22.23</v>
          </cell>
          <cell r="BA66">
            <v>48.55</v>
          </cell>
          <cell r="BB66">
            <v>162.01999999999998</v>
          </cell>
          <cell r="BC66">
            <v>378</v>
          </cell>
        </row>
        <row r="67">
          <cell r="A67" t="str">
            <v xml:space="preserve">   2.  Level II</v>
          </cell>
          <cell r="B67">
            <v>2.5</v>
          </cell>
          <cell r="C67">
            <v>3.73</v>
          </cell>
          <cell r="D67">
            <v>1</v>
          </cell>
          <cell r="E67">
            <v>2</v>
          </cell>
          <cell r="F67">
            <v>3.5</v>
          </cell>
          <cell r="G67">
            <v>5.73</v>
          </cell>
          <cell r="I67" t="str">
            <v xml:space="preserve">   2.  Level II</v>
          </cell>
          <cell r="J67">
            <v>24.07</v>
          </cell>
          <cell r="K67">
            <v>61.99</v>
          </cell>
          <cell r="L67">
            <v>1</v>
          </cell>
          <cell r="M67">
            <v>2</v>
          </cell>
          <cell r="N67">
            <v>25.07</v>
          </cell>
          <cell r="O67">
            <v>63.99</v>
          </cell>
          <cell r="Q67" t="str">
            <v xml:space="preserve">   2.  Level II</v>
          </cell>
          <cell r="R67">
            <v>10.73</v>
          </cell>
          <cell r="S67">
            <v>26.89</v>
          </cell>
          <cell r="T67">
            <v>1</v>
          </cell>
          <cell r="U67">
            <v>2</v>
          </cell>
          <cell r="V67">
            <v>11.73</v>
          </cell>
          <cell r="W67">
            <v>28.89</v>
          </cell>
          <cell r="Y67" t="str">
            <v xml:space="preserve">   2.  Level II</v>
          </cell>
          <cell r="Z67">
            <v>457</v>
          </cell>
          <cell r="AA67">
            <v>1076.53</v>
          </cell>
          <cell r="AB67">
            <v>38.9</v>
          </cell>
          <cell r="AC67">
            <v>87.41</v>
          </cell>
          <cell r="AD67">
            <v>495.9</v>
          </cell>
          <cell r="AE67">
            <v>1163.94</v>
          </cell>
          <cell r="AG67" t="str">
            <v xml:space="preserve">   2.  Level II</v>
          </cell>
          <cell r="AH67">
            <v>169.93</v>
          </cell>
          <cell r="AI67">
            <v>424.05</v>
          </cell>
          <cell r="AJ67">
            <v>8.07</v>
          </cell>
          <cell r="AK67">
            <v>18.829999999999998</v>
          </cell>
          <cell r="AL67">
            <v>178</v>
          </cell>
          <cell r="AM67">
            <v>442.88</v>
          </cell>
          <cell r="AO67" t="str">
            <v xml:space="preserve">   2.  Level II</v>
          </cell>
          <cell r="AP67">
            <v>12.93</v>
          </cell>
          <cell r="AQ67">
            <v>27.25</v>
          </cell>
          <cell r="AR67">
            <v>1</v>
          </cell>
          <cell r="AS67">
            <v>2</v>
          </cell>
          <cell r="AT67">
            <v>13.93</v>
          </cell>
          <cell r="AU67">
            <v>29.25</v>
          </cell>
          <cell r="AW67" t="str">
            <v xml:space="preserve">   2.  Level II</v>
          </cell>
          <cell r="AX67">
            <v>105.03</v>
          </cell>
          <cell r="AY67">
            <v>254.45</v>
          </cell>
          <cell r="AZ67">
            <v>9.27</v>
          </cell>
          <cell r="BA67">
            <v>18.27</v>
          </cell>
          <cell r="BB67">
            <v>114.3</v>
          </cell>
          <cell r="BC67">
            <v>272.71999999999997</v>
          </cell>
        </row>
        <row r="68">
          <cell r="A68" t="str">
            <v xml:space="preserve">   3.  Level III</v>
          </cell>
          <cell r="B68">
            <v>1</v>
          </cell>
          <cell r="C68">
            <v>1.1599999999999999</v>
          </cell>
          <cell r="D68">
            <v>0</v>
          </cell>
          <cell r="E68">
            <v>0</v>
          </cell>
          <cell r="F68">
            <v>1</v>
          </cell>
          <cell r="G68">
            <v>1.1599999999999999</v>
          </cell>
          <cell r="I68" t="str">
            <v xml:space="preserve">   3.  Level III</v>
          </cell>
          <cell r="J68">
            <v>5</v>
          </cell>
          <cell r="K68">
            <v>11.190000000000001</v>
          </cell>
          <cell r="L68">
            <v>0.5</v>
          </cell>
          <cell r="M68">
            <v>0.5</v>
          </cell>
          <cell r="N68">
            <v>5.5</v>
          </cell>
          <cell r="O68">
            <v>11.690000000000001</v>
          </cell>
          <cell r="Q68" t="str">
            <v xml:space="preserve">   3.  Level III</v>
          </cell>
          <cell r="R68">
            <v>2.0699999999999998</v>
          </cell>
          <cell r="S68">
            <v>4.07</v>
          </cell>
          <cell r="T68">
            <v>0</v>
          </cell>
          <cell r="U68">
            <v>0</v>
          </cell>
          <cell r="V68">
            <v>2.0699999999999998</v>
          </cell>
          <cell r="W68">
            <v>4.07</v>
          </cell>
          <cell r="Y68" t="str">
            <v xml:space="preserve">   3.  Level III</v>
          </cell>
          <cell r="Z68">
            <v>57.06</v>
          </cell>
          <cell r="AA68">
            <v>143.49</v>
          </cell>
          <cell r="AB68">
            <v>10.73</v>
          </cell>
          <cell r="AC68">
            <v>21.96</v>
          </cell>
          <cell r="AD68">
            <v>67.790000000000006</v>
          </cell>
          <cell r="AE68">
            <v>165.45000000000002</v>
          </cell>
          <cell r="AG68" t="str">
            <v xml:space="preserve">   3.  Level III</v>
          </cell>
          <cell r="AH68">
            <v>40.29</v>
          </cell>
          <cell r="AI68">
            <v>95.52</v>
          </cell>
          <cell r="AJ68">
            <v>6.2</v>
          </cell>
          <cell r="AK68">
            <v>12.91</v>
          </cell>
          <cell r="AL68">
            <v>46.49</v>
          </cell>
          <cell r="AM68">
            <v>108.42999999999999</v>
          </cell>
          <cell r="AO68" t="str">
            <v xml:space="preserve">   3.  Level III</v>
          </cell>
          <cell r="AP68">
            <v>0.4</v>
          </cell>
          <cell r="AQ68">
            <v>0.4</v>
          </cell>
          <cell r="AR68">
            <v>0</v>
          </cell>
          <cell r="AS68">
            <v>0</v>
          </cell>
          <cell r="AT68">
            <v>0.4</v>
          </cell>
          <cell r="AU68">
            <v>0.4</v>
          </cell>
          <cell r="AW68" t="str">
            <v xml:space="preserve">   3.  Level III</v>
          </cell>
          <cell r="AX68">
            <v>14.8</v>
          </cell>
          <cell r="AY68">
            <v>34.5</v>
          </cell>
          <cell r="AZ68">
            <v>5</v>
          </cell>
          <cell r="BA68">
            <v>11</v>
          </cell>
          <cell r="BB68">
            <v>19.8</v>
          </cell>
          <cell r="BC68">
            <v>45.5</v>
          </cell>
        </row>
        <row r="69">
          <cell r="A69" t="str">
            <v xml:space="preserve">   4.  Level IV</v>
          </cell>
          <cell r="B69">
            <v>0</v>
          </cell>
          <cell r="C69">
            <v>0</v>
          </cell>
          <cell r="D69">
            <v>0</v>
          </cell>
          <cell r="E69">
            <v>0</v>
          </cell>
          <cell r="F69">
            <v>0</v>
          </cell>
          <cell r="G69">
            <v>0</v>
          </cell>
          <cell r="I69" t="str">
            <v xml:space="preserve">   4.  Level IV</v>
          </cell>
          <cell r="J69">
            <v>0</v>
          </cell>
          <cell r="K69">
            <v>0</v>
          </cell>
          <cell r="L69">
            <v>0</v>
          </cell>
          <cell r="M69">
            <v>0</v>
          </cell>
          <cell r="N69">
            <v>0</v>
          </cell>
          <cell r="O69">
            <v>0</v>
          </cell>
          <cell r="Q69" t="str">
            <v xml:space="preserve">   4.  Level IV</v>
          </cell>
          <cell r="R69">
            <v>0</v>
          </cell>
          <cell r="S69">
            <v>0</v>
          </cell>
          <cell r="T69">
            <v>0</v>
          </cell>
          <cell r="U69">
            <v>0</v>
          </cell>
          <cell r="V69">
            <v>0</v>
          </cell>
          <cell r="W69">
            <v>0</v>
          </cell>
          <cell r="Y69" t="str">
            <v xml:space="preserve">   4.  Level IV</v>
          </cell>
          <cell r="Z69">
            <v>0</v>
          </cell>
          <cell r="AA69">
            <v>0.03</v>
          </cell>
          <cell r="AB69">
            <v>4.07</v>
          </cell>
          <cell r="AC69">
            <v>9.129999999999999</v>
          </cell>
          <cell r="AD69">
            <v>4.07</v>
          </cell>
          <cell r="AE69">
            <v>9.1599999999999984</v>
          </cell>
          <cell r="AG69" t="str">
            <v xml:space="preserve">   4.  Level IV</v>
          </cell>
          <cell r="AH69">
            <v>0</v>
          </cell>
          <cell r="AI69">
            <v>0</v>
          </cell>
          <cell r="AJ69">
            <v>0</v>
          </cell>
          <cell r="AK69">
            <v>0</v>
          </cell>
          <cell r="AL69">
            <v>0</v>
          </cell>
          <cell r="AM69">
            <v>0</v>
          </cell>
          <cell r="AO69" t="str">
            <v xml:space="preserve">   4.  Level IV</v>
          </cell>
          <cell r="AP69">
            <v>2</v>
          </cell>
          <cell r="AQ69">
            <v>5</v>
          </cell>
          <cell r="AR69">
            <v>0</v>
          </cell>
          <cell r="AS69">
            <v>0</v>
          </cell>
          <cell r="AT69">
            <v>2</v>
          </cell>
          <cell r="AU69">
            <v>5</v>
          </cell>
          <cell r="AW69" t="str">
            <v xml:space="preserve">   4.  Level IV</v>
          </cell>
          <cell r="AX69">
            <v>0</v>
          </cell>
          <cell r="AY69">
            <v>0</v>
          </cell>
          <cell r="AZ69">
            <v>0</v>
          </cell>
          <cell r="BA69">
            <v>0</v>
          </cell>
          <cell r="BB69">
            <v>0</v>
          </cell>
          <cell r="BC69">
            <v>0</v>
          </cell>
        </row>
        <row r="70">
          <cell r="A70" t="str">
            <v xml:space="preserve">   5.</v>
          </cell>
          <cell r="I70" t="str">
            <v xml:space="preserve">   5.</v>
          </cell>
          <cell r="Q70" t="str">
            <v xml:space="preserve">   5.</v>
          </cell>
          <cell r="Y70" t="str">
            <v xml:space="preserve">   5.</v>
          </cell>
          <cell r="AG70" t="str">
            <v xml:space="preserve">   5.</v>
          </cell>
          <cell r="AO70" t="str">
            <v xml:space="preserve">   5.</v>
          </cell>
          <cell r="AW70" t="str">
            <v xml:space="preserve">   5.</v>
          </cell>
        </row>
        <row r="71">
          <cell r="A71" t="str">
            <v xml:space="preserve">   6.</v>
          </cell>
          <cell r="I71" t="str">
            <v xml:space="preserve">   6.</v>
          </cell>
          <cell r="Q71" t="str">
            <v xml:space="preserve">   6.</v>
          </cell>
          <cell r="Y71" t="str">
            <v xml:space="preserve">   6.</v>
          </cell>
          <cell r="AG71" t="str">
            <v xml:space="preserve">   6.</v>
          </cell>
          <cell r="AO71" t="str">
            <v xml:space="preserve">   6.</v>
          </cell>
          <cell r="AW71" t="str">
            <v xml:space="preserve">   6.</v>
          </cell>
        </row>
        <row r="72">
          <cell r="A72" t="str">
            <v xml:space="preserve">   7.  Home and Community Based Services (HCBS) Total</v>
          </cell>
          <cell r="B72">
            <v>60.9</v>
          </cell>
          <cell r="C72">
            <v>136.16</v>
          </cell>
          <cell r="D72">
            <v>15.5</v>
          </cell>
          <cell r="E72">
            <v>34.769999999999996</v>
          </cell>
          <cell r="F72">
            <v>76.400000000000006</v>
          </cell>
          <cell r="G72">
            <v>170.93</v>
          </cell>
          <cell r="I72" t="str">
            <v xml:space="preserve">   7.  Home and Community Based Services (HCBS) Total</v>
          </cell>
          <cell r="J72">
            <v>99.030000000000015</v>
          </cell>
          <cell r="K72">
            <v>240.42</v>
          </cell>
          <cell r="L72">
            <v>26.310000000000002</v>
          </cell>
          <cell r="M72">
            <v>58.57</v>
          </cell>
          <cell r="N72">
            <v>125.34000000000002</v>
          </cell>
          <cell r="O72">
            <v>298.99</v>
          </cell>
          <cell r="Q72" t="str">
            <v xml:space="preserve">   7.  Home and Community Based Services (HCBS) Total</v>
          </cell>
          <cell r="R72">
            <v>27.77</v>
          </cell>
          <cell r="S72">
            <v>67.55</v>
          </cell>
          <cell r="T72">
            <v>4.07</v>
          </cell>
          <cell r="U72">
            <v>9.07</v>
          </cell>
          <cell r="V72">
            <v>31.84</v>
          </cell>
          <cell r="W72">
            <v>76.62</v>
          </cell>
          <cell r="Y72" t="str">
            <v xml:space="preserve">   7.  Home and Community Based Services (HCBS) Total</v>
          </cell>
          <cell r="Z72">
            <v>3289.079999999999</v>
          </cell>
          <cell r="AA72">
            <v>5294.5199999999995</v>
          </cell>
          <cell r="AB72">
            <v>466.87</v>
          </cell>
          <cell r="AC72">
            <v>1046.02</v>
          </cell>
          <cell r="AD72">
            <v>3755.9499999999989</v>
          </cell>
          <cell r="AE72">
            <v>6340.5399999999991</v>
          </cell>
          <cell r="AG72" t="str">
            <v xml:space="preserve">   7.  Home and Community Based Services (HCBS) Total</v>
          </cell>
          <cell r="AH72">
            <v>387.66</v>
          </cell>
          <cell r="AI72">
            <v>939.55</v>
          </cell>
          <cell r="AJ72">
            <v>72.69</v>
          </cell>
          <cell r="AK72">
            <v>177.25</v>
          </cell>
          <cell r="AL72">
            <v>460.35</v>
          </cell>
          <cell r="AM72">
            <v>1116.8</v>
          </cell>
          <cell r="AO72" t="str">
            <v xml:space="preserve">   7.  Home and Community Based Services (HCBS) Total</v>
          </cell>
          <cell r="AP72">
            <v>141.83000000000001</v>
          </cell>
          <cell r="AQ72">
            <v>335.84</v>
          </cell>
          <cell r="AR72">
            <v>43.77</v>
          </cell>
          <cell r="AS72">
            <v>93.65</v>
          </cell>
          <cell r="AT72">
            <v>185.60000000000002</v>
          </cell>
          <cell r="AU72">
            <v>429.49</v>
          </cell>
          <cell r="AW72" t="str">
            <v xml:space="preserve">   7.  Home and Community Based Services (HCBS) Total</v>
          </cell>
          <cell r="AX72">
            <v>303.75</v>
          </cell>
          <cell r="AY72">
            <v>722.83999999999992</v>
          </cell>
          <cell r="AZ72">
            <v>76.900000000000006</v>
          </cell>
          <cell r="BA72">
            <v>182.97</v>
          </cell>
          <cell r="BB72">
            <v>380.65</v>
          </cell>
          <cell r="BC72">
            <v>905.81</v>
          </cell>
        </row>
        <row r="73">
          <cell r="A73" t="str">
            <v xml:space="preserve">       a.  Adult Foster Care</v>
          </cell>
          <cell r="B73">
            <v>0</v>
          </cell>
          <cell r="C73">
            <v>0</v>
          </cell>
          <cell r="D73">
            <v>0</v>
          </cell>
          <cell r="E73">
            <v>0</v>
          </cell>
          <cell r="F73">
            <v>0</v>
          </cell>
          <cell r="G73">
            <v>0</v>
          </cell>
          <cell r="I73" t="str">
            <v xml:space="preserve">       a.  Adult Foster Care</v>
          </cell>
          <cell r="J73">
            <v>0</v>
          </cell>
          <cell r="K73">
            <v>0</v>
          </cell>
          <cell r="L73">
            <v>0.17</v>
          </cell>
          <cell r="M73">
            <v>0.17</v>
          </cell>
          <cell r="N73">
            <v>0.17</v>
          </cell>
          <cell r="O73">
            <v>0.17</v>
          </cell>
          <cell r="Q73" t="str">
            <v xml:space="preserve">       a.  Adult Foster Care</v>
          </cell>
          <cell r="R73">
            <v>0</v>
          </cell>
          <cell r="S73">
            <v>0</v>
          </cell>
          <cell r="T73">
            <v>0</v>
          </cell>
          <cell r="U73">
            <v>0</v>
          </cell>
          <cell r="V73">
            <v>0</v>
          </cell>
          <cell r="W73">
            <v>0</v>
          </cell>
          <cell r="Y73" t="str">
            <v xml:space="preserve">       a.  Adult Foster Care</v>
          </cell>
          <cell r="Z73">
            <v>48.86</v>
          </cell>
          <cell r="AA73">
            <v>115.83</v>
          </cell>
          <cell r="AB73">
            <v>8</v>
          </cell>
          <cell r="AC73">
            <v>18.04</v>
          </cell>
          <cell r="AD73">
            <v>56.86</v>
          </cell>
          <cell r="AE73">
            <v>133.87</v>
          </cell>
          <cell r="AG73" t="str">
            <v xml:space="preserve">       a.  Adult Foster Care</v>
          </cell>
          <cell r="AH73">
            <v>4</v>
          </cell>
          <cell r="AI73">
            <v>8.9</v>
          </cell>
          <cell r="AJ73">
            <v>1.83</v>
          </cell>
          <cell r="AK73">
            <v>4.7300000000000004</v>
          </cell>
          <cell r="AL73">
            <v>5.83</v>
          </cell>
          <cell r="AM73">
            <v>13.63</v>
          </cell>
          <cell r="AO73" t="str">
            <v xml:space="preserve">       a.  Adult Foster Care</v>
          </cell>
          <cell r="AP73">
            <v>0</v>
          </cell>
          <cell r="AQ73">
            <v>0</v>
          </cell>
          <cell r="AR73">
            <v>0</v>
          </cell>
          <cell r="AS73">
            <v>0</v>
          </cell>
          <cell r="AT73">
            <v>0</v>
          </cell>
          <cell r="AU73">
            <v>0</v>
          </cell>
          <cell r="AW73" t="str">
            <v xml:space="preserve">       a.  Adult Foster Care</v>
          </cell>
          <cell r="AX73">
            <v>1</v>
          </cell>
          <cell r="AY73">
            <v>3</v>
          </cell>
          <cell r="AZ73">
            <v>0</v>
          </cell>
          <cell r="BA73">
            <v>0</v>
          </cell>
          <cell r="BB73">
            <v>1</v>
          </cell>
          <cell r="BC73">
            <v>3</v>
          </cell>
        </row>
        <row r="74">
          <cell r="A74" t="str">
            <v xml:space="preserve">       b.  Assisted Living Home (Adult Care Home)</v>
          </cell>
          <cell r="B74">
            <v>13</v>
          </cell>
          <cell r="C74">
            <v>31.94</v>
          </cell>
          <cell r="D74">
            <v>0</v>
          </cell>
          <cell r="E74">
            <v>0.82</v>
          </cell>
          <cell r="F74">
            <v>13</v>
          </cell>
          <cell r="G74">
            <v>32.76</v>
          </cell>
          <cell r="I74" t="str">
            <v xml:space="preserve">       b.  Assisted Living Home (Adult Care Home)</v>
          </cell>
          <cell r="J74">
            <v>5.73</v>
          </cell>
          <cell r="K74">
            <v>13.06</v>
          </cell>
          <cell r="L74">
            <v>1.7</v>
          </cell>
          <cell r="M74">
            <v>2.7</v>
          </cell>
          <cell r="N74">
            <v>7.4300000000000006</v>
          </cell>
          <cell r="O74">
            <v>15.760000000000002</v>
          </cell>
          <cell r="Q74" t="str">
            <v xml:space="preserve">       b.  Assisted Living Home (Adult Care Home)</v>
          </cell>
          <cell r="R74">
            <v>0</v>
          </cell>
          <cell r="S74">
            <v>0</v>
          </cell>
          <cell r="T74">
            <v>0</v>
          </cell>
          <cell r="U74">
            <v>0</v>
          </cell>
          <cell r="V74">
            <v>0</v>
          </cell>
          <cell r="W74">
            <v>0</v>
          </cell>
          <cell r="Y74" t="str">
            <v xml:space="preserve">       b.  Assisted Living Home (Adult Care Home)</v>
          </cell>
          <cell r="Z74">
            <v>546.54999999999995</v>
          </cell>
          <cell r="AA74">
            <v>1344.31</v>
          </cell>
          <cell r="AB74">
            <v>37.83</v>
          </cell>
          <cell r="AC74">
            <v>81.819999999999993</v>
          </cell>
          <cell r="AD74">
            <v>584.38</v>
          </cell>
          <cell r="AE74">
            <v>1426.1299999999999</v>
          </cell>
          <cell r="AG74" t="str">
            <v xml:space="preserve">       b.  Assisted Living Home (Adult Care Home)</v>
          </cell>
          <cell r="AH74">
            <v>8.4</v>
          </cell>
          <cell r="AI74">
            <v>19.77</v>
          </cell>
          <cell r="AJ74">
            <v>3.3</v>
          </cell>
          <cell r="AK74">
            <v>7.3</v>
          </cell>
          <cell r="AL74">
            <v>11.7</v>
          </cell>
          <cell r="AM74">
            <v>27.07</v>
          </cell>
          <cell r="AO74" t="str">
            <v xml:space="preserve">       b.  Assisted Living Home (Adult Care Home)</v>
          </cell>
          <cell r="AP74">
            <v>24.33</v>
          </cell>
          <cell r="AQ74">
            <v>59.48</v>
          </cell>
          <cell r="AR74">
            <v>4</v>
          </cell>
          <cell r="AS74">
            <v>8</v>
          </cell>
          <cell r="AT74">
            <v>28.33</v>
          </cell>
          <cell r="AU74">
            <v>67.47999999999999</v>
          </cell>
          <cell r="AW74" t="str">
            <v xml:space="preserve">       b.  Assisted Living Home (Adult Care Home)</v>
          </cell>
          <cell r="AX74">
            <v>33.299999999999997</v>
          </cell>
          <cell r="AY74">
            <v>83.289999999999992</v>
          </cell>
          <cell r="AZ74">
            <v>3.27</v>
          </cell>
          <cell r="BA74">
            <v>7.27</v>
          </cell>
          <cell r="BB74">
            <v>36.57</v>
          </cell>
          <cell r="BC74">
            <v>90.559999999999988</v>
          </cell>
        </row>
        <row r="75">
          <cell r="A75" t="str">
            <v xml:space="preserve">       c.  Group Home (DD)</v>
          </cell>
          <cell r="B75">
            <v>0</v>
          </cell>
          <cell r="C75">
            <v>0</v>
          </cell>
          <cell r="D75">
            <v>0</v>
          </cell>
          <cell r="E75">
            <v>0</v>
          </cell>
          <cell r="F75">
            <v>0</v>
          </cell>
          <cell r="G75">
            <v>0</v>
          </cell>
          <cell r="I75" t="str">
            <v xml:space="preserve">       c.  Group Home (DD)</v>
          </cell>
          <cell r="J75">
            <v>0</v>
          </cell>
          <cell r="K75">
            <v>0</v>
          </cell>
          <cell r="L75">
            <v>0</v>
          </cell>
          <cell r="M75">
            <v>0</v>
          </cell>
          <cell r="N75">
            <v>0</v>
          </cell>
          <cell r="O75">
            <v>0</v>
          </cell>
          <cell r="Q75" t="str">
            <v xml:space="preserve">       c.  Group Home (DD)</v>
          </cell>
          <cell r="R75">
            <v>0</v>
          </cell>
          <cell r="S75">
            <v>0</v>
          </cell>
          <cell r="T75">
            <v>0</v>
          </cell>
          <cell r="U75">
            <v>0</v>
          </cell>
          <cell r="V75">
            <v>0</v>
          </cell>
          <cell r="W75">
            <v>0</v>
          </cell>
          <cell r="Y75" t="str">
            <v xml:space="preserve">       c.  Group Home (DD)</v>
          </cell>
          <cell r="Z75">
            <v>1</v>
          </cell>
          <cell r="AA75">
            <v>3.03</v>
          </cell>
          <cell r="AB75">
            <v>0</v>
          </cell>
          <cell r="AC75">
            <v>0</v>
          </cell>
          <cell r="AD75">
            <v>1</v>
          </cell>
          <cell r="AE75">
            <v>3.03</v>
          </cell>
          <cell r="AG75" t="str">
            <v xml:space="preserve">       c.  Group Home (DD)</v>
          </cell>
          <cell r="AH75">
            <v>0</v>
          </cell>
          <cell r="AI75">
            <v>0</v>
          </cell>
          <cell r="AJ75">
            <v>0</v>
          </cell>
          <cell r="AK75">
            <v>0</v>
          </cell>
          <cell r="AL75">
            <v>0</v>
          </cell>
          <cell r="AM75">
            <v>0</v>
          </cell>
          <cell r="AO75" t="str">
            <v xml:space="preserve">       c.  Group Home (DD)</v>
          </cell>
          <cell r="AP75">
            <v>0</v>
          </cell>
          <cell r="AQ75">
            <v>0</v>
          </cell>
          <cell r="AR75">
            <v>0</v>
          </cell>
          <cell r="AS75">
            <v>0</v>
          </cell>
          <cell r="AT75">
            <v>0</v>
          </cell>
          <cell r="AU75">
            <v>0</v>
          </cell>
          <cell r="AW75" t="str">
            <v xml:space="preserve">       c.  Group Home (DD)</v>
          </cell>
          <cell r="AX75">
            <v>0</v>
          </cell>
          <cell r="AY75">
            <v>0</v>
          </cell>
          <cell r="AZ75">
            <v>0</v>
          </cell>
          <cell r="BA75">
            <v>0</v>
          </cell>
          <cell r="BB75">
            <v>0</v>
          </cell>
          <cell r="BC75">
            <v>0</v>
          </cell>
        </row>
        <row r="76">
          <cell r="A76" t="str">
            <v xml:space="preserve">       d.  Individual Home</v>
          </cell>
          <cell r="B76">
            <v>25.83</v>
          </cell>
          <cell r="C76">
            <v>52.83</v>
          </cell>
          <cell r="D76">
            <v>11.5</v>
          </cell>
          <cell r="E76">
            <v>25.95</v>
          </cell>
          <cell r="F76">
            <v>37.33</v>
          </cell>
          <cell r="G76">
            <v>78.78</v>
          </cell>
          <cell r="I76" t="str">
            <v xml:space="preserve">       d.  Individual Home</v>
          </cell>
          <cell r="J76">
            <v>34.03</v>
          </cell>
          <cell r="K76">
            <v>74.16</v>
          </cell>
          <cell r="L76">
            <v>14.27</v>
          </cell>
          <cell r="M76">
            <v>31.53</v>
          </cell>
          <cell r="N76">
            <v>48.3</v>
          </cell>
          <cell r="O76">
            <v>105.69</v>
          </cell>
          <cell r="Q76" t="str">
            <v xml:space="preserve">       d.  Individual Home</v>
          </cell>
          <cell r="R76">
            <v>19.7</v>
          </cell>
          <cell r="S76">
            <v>48.29</v>
          </cell>
          <cell r="T76">
            <v>1</v>
          </cell>
          <cell r="U76">
            <v>2</v>
          </cell>
          <cell r="V76">
            <v>20.7</v>
          </cell>
          <cell r="W76">
            <v>50.29</v>
          </cell>
          <cell r="Y76" t="str">
            <v xml:space="preserve">       d.  Individual Home</v>
          </cell>
          <cell r="Z76">
            <v>1360.7799999999993</v>
          </cell>
          <cell r="AA76">
            <v>668.74999999999966</v>
          </cell>
          <cell r="AB76">
            <v>223.95</v>
          </cell>
          <cell r="AC76">
            <v>505.46999999999997</v>
          </cell>
          <cell r="AD76">
            <v>1584.7299999999993</v>
          </cell>
          <cell r="AE76">
            <v>1174.2199999999996</v>
          </cell>
          <cell r="AG76" t="str">
            <v xml:space="preserve">       d.  Individual Home</v>
          </cell>
          <cell r="AH76">
            <v>154.76</v>
          </cell>
          <cell r="AI76">
            <v>379.21</v>
          </cell>
          <cell r="AJ76">
            <v>34.700000000000003</v>
          </cell>
          <cell r="AK76">
            <v>87.7</v>
          </cell>
          <cell r="AL76">
            <v>189.45999999999998</v>
          </cell>
          <cell r="AM76">
            <v>466.90999999999997</v>
          </cell>
          <cell r="AO76" t="str">
            <v xml:space="preserve">       d.  Individual Home</v>
          </cell>
          <cell r="AP76">
            <v>61.1</v>
          </cell>
          <cell r="AQ76">
            <v>136.31</v>
          </cell>
          <cell r="AR76">
            <v>25</v>
          </cell>
          <cell r="AS76">
            <v>54.1</v>
          </cell>
          <cell r="AT76">
            <v>86.1</v>
          </cell>
          <cell r="AU76">
            <v>190.41</v>
          </cell>
          <cell r="AW76" t="str">
            <v xml:space="preserve">       d.  Individual Home</v>
          </cell>
          <cell r="AX76">
            <v>103.87</v>
          </cell>
          <cell r="AY76">
            <v>235.26</v>
          </cell>
          <cell r="AZ76">
            <v>37</v>
          </cell>
          <cell r="BA76">
            <v>85.47999999999999</v>
          </cell>
          <cell r="BB76">
            <v>140.87</v>
          </cell>
          <cell r="BC76">
            <v>320.74</v>
          </cell>
        </row>
        <row r="77">
          <cell r="A77" t="str">
            <v xml:space="preserve">       e.  Assisted Living Centers (SRL)</v>
          </cell>
          <cell r="B77">
            <v>1</v>
          </cell>
          <cell r="C77">
            <v>2</v>
          </cell>
          <cell r="D77">
            <v>1</v>
          </cell>
          <cell r="E77">
            <v>2</v>
          </cell>
          <cell r="F77">
            <v>2</v>
          </cell>
          <cell r="G77">
            <v>4</v>
          </cell>
          <cell r="I77" t="str">
            <v xml:space="preserve">       e.  Assisted Living Centers (SRL)</v>
          </cell>
          <cell r="J77">
            <v>39.1</v>
          </cell>
          <cell r="K77">
            <v>104.47999999999999</v>
          </cell>
          <cell r="L77">
            <v>2.17</v>
          </cell>
          <cell r="M77">
            <v>5.17</v>
          </cell>
          <cell r="N77">
            <v>41.27</v>
          </cell>
          <cell r="O77">
            <v>109.64999999999999</v>
          </cell>
          <cell r="Q77" t="str">
            <v xml:space="preserve">       e.  Assisted Living Centers (SRL)</v>
          </cell>
          <cell r="R77">
            <v>3</v>
          </cell>
          <cell r="S77">
            <v>6.65</v>
          </cell>
          <cell r="T77">
            <v>0</v>
          </cell>
          <cell r="U77">
            <v>0</v>
          </cell>
          <cell r="V77">
            <v>3</v>
          </cell>
          <cell r="W77">
            <v>6.65</v>
          </cell>
          <cell r="Y77" t="str">
            <v xml:space="preserve">       e.  Assisted Living Centers (SRL)</v>
          </cell>
          <cell r="Z77">
            <v>622.35</v>
          </cell>
          <cell r="AA77">
            <v>1529.68</v>
          </cell>
          <cell r="AB77">
            <v>42.86</v>
          </cell>
          <cell r="AC77">
            <v>92.4</v>
          </cell>
          <cell r="AD77">
            <v>665.21</v>
          </cell>
          <cell r="AE77">
            <v>1622.0800000000002</v>
          </cell>
          <cell r="AG77" t="str">
            <v xml:space="preserve">       e.  Assisted Living Centers (SRL)</v>
          </cell>
          <cell r="AH77">
            <v>107.52</v>
          </cell>
          <cell r="AI77">
            <v>257.99</v>
          </cell>
          <cell r="AJ77">
            <v>15.83</v>
          </cell>
          <cell r="AK77">
            <v>36.729999999999997</v>
          </cell>
          <cell r="AL77">
            <v>123.35</v>
          </cell>
          <cell r="AM77">
            <v>294.72000000000003</v>
          </cell>
          <cell r="AO77" t="str">
            <v xml:space="preserve">       e.  Assisted Living Centers (SRL)</v>
          </cell>
          <cell r="AP77">
            <v>15.7</v>
          </cell>
          <cell r="AQ77">
            <v>39.71</v>
          </cell>
          <cell r="AR77">
            <v>3.77</v>
          </cell>
          <cell r="AS77">
            <v>6.8</v>
          </cell>
          <cell r="AT77">
            <v>19.47</v>
          </cell>
          <cell r="AU77">
            <v>46.51</v>
          </cell>
          <cell r="AW77" t="str">
            <v xml:space="preserve">       e.  Assisted Living Centers (SRL)</v>
          </cell>
          <cell r="AX77">
            <v>41.91</v>
          </cell>
          <cell r="AY77">
            <v>104.81</v>
          </cell>
          <cell r="AZ77">
            <v>4.9000000000000004</v>
          </cell>
          <cell r="BA77">
            <v>11.86</v>
          </cell>
          <cell r="BB77">
            <v>46.809999999999995</v>
          </cell>
          <cell r="BC77">
            <v>116.67</v>
          </cell>
        </row>
        <row r="78">
          <cell r="A78" t="str">
            <v xml:space="preserve">       f.  Other (Hospice)</v>
          </cell>
          <cell r="B78">
            <v>6.1</v>
          </cell>
          <cell r="C78">
            <v>13.42</v>
          </cell>
          <cell r="D78">
            <v>0</v>
          </cell>
          <cell r="E78">
            <v>0</v>
          </cell>
          <cell r="F78">
            <v>6.1</v>
          </cell>
          <cell r="G78">
            <v>13.42</v>
          </cell>
          <cell r="I78" t="str">
            <v xml:space="preserve">       f.  Other (Hospice)</v>
          </cell>
          <cell r="J78">
            <v>0.14000000000000001</v>
          </cell>
          <cell r="K78">
            <v>1.01</v>
          </cell>
          <cell r="L78">
            <v>0</v>
          </cell>
          <cell r="M78">
            <v>0</v>
          </cell>
          <cell r="N78">
            <v>0.14000000000000001</v>
          </cell>
          <cell r="O78">
            <v>1.01</v>
          </cell>
          <cell r="Q78" t="str">
            <v xml:space="preserve">       f.  Other (Hospice)</v>
          </cell>
          <cell r="R78">
            <v>0</v>
          </cell>
          <cell r="S78">
            <v>0</v>
          </cell>
          <cell r="T78">
            <v>1</v>
          </cell>
          <cell r="U78">
            <v>2</v>
          </cell>
          <cell r="V78">
            <v>1</v>
          </cell>
          <cell r="W78">
            <v>2</v>
          </cell>
          <cell r="Y78" t="str">
            <v xml:space="preserve">       f.  Other (Hospice)</v>
          </cell>
          <cell r="Z78">
            <v>87.58</v>
          </cell>
          <cell r="AA78">
            <v>203.99</v>
          </cell>
          <cell r="AB78">
            <v>1.7</v>
          </cell>
          <cell r="AC78">
            <v>4.09</v>
          </cell>
          <cell r="AD78">
            <v>89.28</v>
          </cell>
          <cell r="AE78">
            <v>208.08</v>
          </cell>
          <cell r="AG78" t="str">
            <v xml:space="preserve">       f.  Other (Hospice)</v>
          </cell>
          <cell r="AH78">
            <v>1</v>
          </cell>
          <cell r="AI78">
            <v>3</v>
          </cell>
          <cell r="AJ78">
            <v>0</v>
          </cell>
          <cell r="AK78">
            <v>0</v>
          </cell>
          <cell r="AL78">
            <v>1</v>
          </cell>
          <cell r="AM78">
            <v>3</v>
          </cell>
          <cell r="AO78" t="str">
            <v xml:space="preserve">       f.  Other (Hospice)</v>
          </cell>
          <cell r="AP78">
            <v>4.2300000000000004</v>
          </cell>
          <cell r="AQ78">
            <v>11.39</v>
          </cell>
          <cell r="AR78">
            <v>2</v>
          </cell>
          <cell r="AS78">
            <v>4.75</v>
          </cell>
          <cell r="AT78">
            <v>6.23</v>
          </cell>
          <cell r="AU78">
            <v>16.14</v>
          </cell>
          <cell r="AW78" t="str">
            <v xml:space="preserve">       f.  Other (Hospice)</v>
          </cell>
          <cell r="AX78">
            <v>6.97</v>
          </cell>
          <cell r="AY78">
            <v>17.940000000000001</v>
          </cell>
          <cell r="AZ78">
            <v>0.9</v>
          </cell>
          <cell r="BA78">
            <v>1.9</v>
          </cell>
          <cell r="BB78">
            <v>7.87</v>
          </cell>
          <cell r="BC78">
            <v>19.84</v>
          </cell>
        </row>
        <row r="79">
          <cell r="A79" t="str">
            <v xml:space="preserve">       g.  Attendant Care</v>
          </cell>
          <cell r="B79">
            <v>14.97</v>
          </cell>
          <cell r="C79">
            <v>35.97</v>
          </cell>
          <cell r="D79">
            <v>3</v>
          </cell>
          <cell r="E79">
            <v>6</v>
          </cell>
          <cell r="F79">
            <v>17.97</v>
          </cell>
          <cell r="G79">
            <v>41.97</v>
          </cell>
          <cell r="I79" t="str">
            <v xml:space="preserve">       g.  Attendant Care</v>
          </cell>
          <cell r="J79">
            <v>20.03</v>
          </cell>
          <cell r="K79">
            <v>47.71</v>
          </cell>
          <cell r="L79">
            <v>8</v>
          </cell>
          <cell r="M79">
            <v>19</v>
          </cell>
          <cell r="N79">
            <v>28.03</v>
          </cell>
          <cell r="O79">
            <v>66.710000000000008</v>
          </cell>
          <cell r="Q79" t="str">
            <v xml:space="preserve">       g.  Attendant Care</v>
          </cell>
          <cell r="R79">
            <v>5.07</v>
          </cell>
          <cell r="S79">
            <v>12.61</v>
          </cell>
          <cell r="T79">
            <v>2.0699999999999998</v>
          </cell>
          <cell r="U79">
            <v>5.07</v>
          </cell>
          <cell r="V79">
            <v>7.1400000000000006</v>
          </cell>
          <cell r="W79">
            <v>17.68</v>
          </cell>
          <cell r="Y79" t="str">
            <v xml:space="preserve">       g.  Attendant Care</v>
          </cell>
          <cell r="Z79">
            <v>621.96</v>
          </cell>
          <cell r="AA79">
            <v>1428.93</v>
          </cell>
          <cell r="AB79">
            <v>152.53</v>
          </cell>
          <cell r="AC79">
            <v>344.2</v>
          </cell>
          <cell r="AD79">
            <v>774.49</v>
          </cell>
          <cell r="AE79">
            <v>1773.13</v>
          </cell>
          <cell r="AG79" t="str">
            <v xml:space="preserve">       g.  Attendant Care</v>
          </cell>
          <cell r="AH79">
            <v>111.98</v>
          </cell>
          <cell r="AI79">
            <v>270.68</v>
          </cell>
          <cell r="AJ79">
            <v>17.03</v>
          </cell>
          <cell r="AK79">
            <v>40.790000000000006</v>
          </cell>
          <cell r="AL79">
            <v>129.01</v>
          </cell>
          <cell r="AM79">
            <v>311.47000000000003</v>
          </cell>
          <cell r="AO79" t="str">
            <v xml:space="preserve">       g.  Attendant Care</v>
          </cell>
          <cell r="AP79">
            <v>36.47</v>
          </cell>
          <cell r="AQ79">
            <v>88.949999999999989</v>
          </cell>
          <cell r="AR79">
            <v>9</v>
          </cell>
          <cell r="AS79">
            <v>20</v>
          </cell>
          <cell r="AT79">
            <v>45.47</v>
          </cell>
          <cell r="AU79">
            <v>108.94999999999999</v>
          </cell>
          <cell r="AW79" t="str">
            <v xml:space="preserve">       g.  Attendant Care</v>
          </cell>
          <cell r="AX79">
            <v>116.7</v>
          </cell>
          <cell r="AY79">
            <v>278.54000000000002</v>
          </cell>
          <cell r="AZ79">
            <v>30.83</v>
          </cell>
          <cell r="BA79">
            <v>76.460000000000008</v>
          </cell>
          <cell r="BB79">
            <v>147.53</v>
          </cell>
          <cell r="BC79">
            <v>355</v>
          </cell>
        </row>
        <row r="80">
          <cell r="A80" t="str">
            <v xml:space="preserve">   8.  Acute Care</v>
          </cell>
          <cell r="B80">
            <v>1.2</v>
          </cell>
          <cell r="C80">
            <v>2.2000000000000002</v>
          </cell>
          <cell r="D80">
            <v>0</v>
          </cell>
          <cell r="E80">
            <v>0</v>
          </cell>
          <cell r="F80">
            <v>1.2</v>
          </cell>
          <cell r="G80">
            <v>2.2000000000000002</v>
          </cell>
          <cell r="I80" t="str">
            <v xml:space="preserve">   8.  Acute Care</v>
          </cell>
          <cell r="J80">
            <v>3</v>
          </cell>
          <cell r="K80">
            <v>8</v>
          </cell>
          <cell r="L80">
            <v>2.0299999999999998</v>
          </cell>
          <cell r="M80">
            <v>4.0299999999999994</v>
          </cell>
          <cell r="N80">
            <v>5.0299999999999994</v>
          </cell>
          <cell r="O80">
            <v>12.03</v>
          </cell>
          <cell r="Q80" t="str">
            <v xml:space="preserve">   8.  Acute Care</v>
          </cell>
          <cell r="R80">
            <v>2.5</v>
          </cell>
          <cell r="S80">
            <v>5.5299999999999994</v>
          </cell>
          <cell r="T80">
            <v>0</v>
          </cell>
          <cell r="U80">
            <v>0</v>
          </cell>
          <cell r="V80">
            <v>2.5</v>
          </cell>
          <cell r="W80">
            <v>5.5299999999999994</v>
          </cell>
          <cell r="Y80" t="str">
            <v xml:space="preserve">   8.  Acute Care</v>
          </cell>
          <cell r="Z80">
            <v>35.49</v>
          </cell>
          <cell r="AA80">
            <v>82.64</v>
          </cell>
          <cell r="AB80">
            <v>25.76</v>
          </cell>
          <cell r="AC80">
            <v>59.86</v>
          </cell>
          <cell r="AD80">
            <v>61.25</v>
          </cell>
          <cell r="AE80">
            <v>142.5</v>
          </cell>
          <cell r="AG80" t="str">
            <v xml:space="preserve">   8.  Acute Care</v>
          </cell>
          <cell r="AH80">
            <v>2</v>
          </cell>
          <cell r="AI80">
            <v>4.9000000000000004</v>
          </cell>
          <cell r="AJ80">
            <v>0</v>
          </cell>
          <cell r="AK80">
            <v>0</v>
          </cell>
          <cell r="AL80">
            <v>2</v>
          </cell>
          <cell r="AM80">
            <v>4.9000000000000004</v>
          </cell>
          <cell r="AO80" t="str">
            <v xml:space="preserve">   8.  Acute Care</v>
          </cell>
          <cell r="AP80">
            <v>1.57</v>
          </cell>
          <cell r="AQ80">
            <v>3.5700000000000003</v>
          </cell>
          <cell r="AR80">
            <v>0</v>
          </cell>
          <cell r="AS80">
            <v>0</v>
          </cell>
          <cell r="AT80">
            <v>1.57</v>
          </cell>
          <cell r="AU80">
            <v>3.5700000000000003</v>
          </cell>
          <cell r="AW80" t="str">
            <v xml:space="preserve">   8.  Acute Care</v>
          </cell>
          <cell r="AX80">
            <v>2</v>
          </cell>
          <cell r="AY80">
            <v>3</v>
          </cell>
          <cell r="AZ80">
            <v>2</v>
          </cell>
          <cell r="BA80">
            <v>4</v>
          </cell>
          <cell r="BB80">
            <v>4</v>
          </cell>
          <cell r="BC80">
            <v>7</v>
          </cell>
        </row>
        <row r="81">
          <cell r="A81" t="str">
            <v xml:space="preserve">   9.  Ventilator</v>
          </cell>
          <cell r="B81">
            <v>0</v>
          </cell>
          <cell r="C81">
            <v>0</v>
          </cell>
          <cell r="D81">
            <v>0</v>
          </cell>
          <cell r="E81">
            <v>0</v>
          </cell>
          <cell r="F81">
            <v>0</v>
          </cell>
          <cell r="G81">
            <v>0</v>
          </cell>
          <cell r="I81" t="str">
            <v xml:space="preserve">   9.  Ventilator</v>
          </cell>
          <cell r="J81">
            <v>0</v>
          </cell>
          <cell r="K81">
            <v>0</v>
          </cell>
          <cell r="L81">
            <v>1</v>
          </cell>
          <cell r="M81">
            <v>2</v>
          </cell>
          <cell r="N81">
            <v>1</v>
          </cell>
          <cell r="O81">
            <v>2</v>
          </cell>
          <cell r="Q81" t="str">
            <v xml:space="preserve">   9.  Ventilator</v>
          </cell>
          <cell r="R81">
            <v>0</v>
          </cell>
          <cell r="S81">
            <v>0</v>
          </cell>
          <cell r="T81">
            <v>0</v>
          </cell>
          <cell r="U81">
            <v>0</v>
          </cell>
          <cell r="V81">
            <v>0</v>
          </cell>
          <cell r="W81">
            <v>0</v>
          </cell>
          <cell r="Y81" t="str">
            <v xml:space="preserve">   9.  Ventilator</v>
          </cell>
          <cell r="Z81">
            <v>20.8</v>
          </cell>
          <cell r="AA81">
            <v>45.06</v>
          </cell>
          <cell r="AB81">
            <v>16.670000000000002</v>
          </cell>
          <cell r="AC81">
            <v>40.510000000000005</v>
          </cell>
          <cell r="AD81">
            <v>37.47</v>
          </cell>
          <cell r="AE81">
            <v>85.570000000000007</v>
          </cell>
          <cell r="AG81" t="str">
            <v xml:space="preserve">   9.  Ventilator</v>
          </cell>
          <cell r="AH81">
            <v>1</v>
          </cell>
          <cell r="AI81">
            <v>3</v>
          </cell>
          <cell r="AJ81">
            <v>0</v>
          </cell>
          <cell r="AK81">
            <v>0</v>
          </cell>
          <cell r="AL81">
            <v>1</v>
          </cell>
          <cell r="AM81">
            <v>3</v>
          </cell>
          <cell r="AO81" t="str">
            <v xml:space="preserve">   9.  Ventilator</v>
          </cell>
          <cell r="AP81">
            <v>1</v>
          </cell>
          <cell r="AQ81">
            <v>3</v>
          </cell>
          <cell r="AR81">
            <v>1</v>
          </cell>
          <cell r="AS81">
            <v>2</v>
          </cell>
          <cell r="AT81">
            <v>2</v>
          </cell>
          <cell r="AU81">
            <v>5</v>
          </cell>
          <cell r="AW81" t="str">
            <v xml:space="preserve">   9.  Ventilator</v>
          </cell>
          <cell r="AX81">
            <v>0</v>
          </cell>
          <cell r="AY81">
            <v>0</v>
          </cell>
          <cell r="AZ81">
            <v>1</v>
          </cell>
          <cell r="BA81">
            <v>2</v>
          </cell>
          <cell r="BB81">
            <v>1</v>
          </cell>
          <cell r="BC81">
            <v>2</v>
          </cell>
        </row>
        <row r="82">
          <cell r="A82" t="str">
            <v xml:space="preserve">  10.  Prior Period</v>
          </cell>
          <cell r="B82">
            <v>0</v>
          </cell>
          <cell r="C82">
            <v>1.9666999999999999</v>
          </cell>
          <cell r="D82">
            <v>0</v>
          </cell>
          <cell r="E82">
            <v>0</v>
          </cell>
          <cell r="F82">
            <v>0</v>
          </cell>
          <cell r="G82">
            <v>1.9666999999999999</v>
          </cell>
          <cell r="I82" t="str">
            <v xml:space="preserve">  10.  Prior Period</v>
          </cell>
          <cell r="J82">
            <v>1</v>
          </cell>
          <cell r="K82">
            <v>7.4192999999999998</v>
          </cell>
          <cell r="L82">
            <v>3</v>
          </cell>
          <cell r="M82">
            <v>3</v>
          </cell>
          <cell r="N82">
            <v>4</v>
          </cell>
          <cell r="O82">
            <v>10.4193</v>
          </cell>
          <cell r="Q82" t="str">
            <v xml:space="preserve">  10.  Prior Period</v>
          </cell>
          <cell r="R82">
            <v>8.9353999999999996</v>
          </cell>
          <cell r="S82">
            <v>14.677299999999999</v>
          </cell>
          <cell r="T82">
            <v>0</v>
          </cell>
          <cell r="U82">
            <v>0</v>
          </cell>
          <cell r="V82">
            <v>8.9353999999999996</v>
          </cell>
          <cell r="W82">
            <v>14.677299999999999</v>
          </cell>
          <cell r="Y82" t="str">
            <v xml:space="preserve">  10.  Prior Period</v>
          </cell>
          <cell r="Z82">
            <v>172.70140000000004</v>
          </cell>
          <cell r="AA82">
            <v>342.62909999999999</v>
          </cell>
          <cell r="AB82">
            <v>14.3001</v>
          </cell>
          <cell r="AC82">
            <v>22.1387</v>
          </cell>
          <cell r="AD82">
            <v>187.00150000000002</v>
          </cell>
          <cell r="AE82">
            <v>364.76779999999997</v>
          </cell>
          <cell r="AG82" t="str">
            <v xml:space="preserve">  10.  Prior Period</v>
          </cell>
          <cell r="AH82">
            <v>23.4</v>
          </cell>
          <cell r="AI82">
            <v>50.978399999999993</v>
          </cell>
          <cell r="AJ82">
            <v>9.0333000000000006</v>
          </cell>
          <cell r="AK82">
            <v>9.0333000000000006</v>
          </cell>
          <cell r="AL82">
            <v>32.433300000000003</v>
          </cell>
          <cell r="AM82">
            <v>60.01169999999999</v>
          </cell>
          <cell r="AO82" t="str">
            <v xml:space="preserve">  10.  Prior Period</v>
          </cell>
          <cell r="AP82">
            <v>9.0998999999999999</v>
          </cell>
          <cell r="AQ82">
            <v>15.454799999999999</v>
          </cell>
          <cell r="AR82">
            <v>0</v>
          </cell>
          <cell r="AS82">
            <v>3.2300000000000002E-2</v>
          </cell>
          <cell r="AT82">
            <v>9.0998999999999999</v>
          </cell>
          <cell r="AU82">
            <v>15.487099999999998</v>
          </cell>
          <cell r="AW82" t="str">
            <v xml:space="preserve">  10.  Prior Period</v>
          </cell>
          <cell r="AX82">
            <v>14.0999</v>
          </cell>
          <cell r="AY82">
            <v>24.130099999999999</v>
          </cell>
          <cell r="AZ82">
            <v>0</v>
          </cell>
          <cell r="BA82">
            <v>0</v>
          </cell>
          <cell r="BB82">
            <v>14.0999</v>
          </cell>
          <cell r="BC82">
            <v>24.130099999999999</v>
          </cell>
        </row>
        <row r="83">
          <cell r="A83" t="str">
            <v xml:space="preserve">  11.  Other - Not Placed</v>
          </cell>
          <cell r="B83">
            <v>-8</v>
          </cell>
          <cell r="C83">
            <v>-16.39</v>
          </cell>
          <cell r="D83">
            <v>-2</v>
          </cell>
          <cell r="E83">
            <v>-5</v>
          </cell>
          <cell r="F83">
            <v>-10</v>
          </cell>
          <cell r="G83">
            <v>-21.39</v>
          </cell>
          <cell r="I83" t="str">
            <v xml:space="preserve">  11.  Other - Not Placed</v>
          </cell>
          <cell r="J83">
            <v>-12.59</v>
          </cell>
          <cell r="K83">
            <v>-29.75</v>
          </cell>
          <cell r="L83">
            <v>-1.33</v>
          </cell>
          <cell r="M83">
            <v>-2.59</v>
          </cell>
          <cell r="N83">
            <v>-13.92</v>
          </cell>
          <cell r="O83">
            <v>-32.340000000000003</v>
          </cell>
          <cell r="Q83" t="str">
            <v xml:space="preserve">  11.  Other - Not Placed</v>
          </cell>
          <cell r="R83">
            <v>-5.5</v>
          </cell>
          <cell r="S83">
            <v>-16.829999999999998</v>
          </cell>
          <cell r="T83">
            <v>0</v>
          </cell>
          <cell r="U83">
            <v>0</v>
          </cell>
          <cell r="V83">
            <v>-5.5</v>
          </cell>
          <cell r="W83">
            <v>-16.829999999999998</v>
          </cell>
          <cell r="Y83" t="str">
            <v xml:space="preserve">  11.  Other - Not Placed</v>
          </cell>
          <cell r="Z83">
            <v>-362.46</v>
          </cell>
          <cell r="AA83">
            <v>-885.8099999999979</v>
          </cell>
          <cell r="AB83">
            <v>-55.97</v>
          </cell>
          <cell r="AC83">
            <v>-126.08</v>
          </cell>
          <cell r="AD83">
            <v>-418.42999999999995</v>
          </cell>
          <cell r="AE83">
            <v>-1011.8899999999979</v>
          </cell>
          <cell r="AG83" t="str">
            <v xml:space="preserve">  11.  Other - Not Placed</v>
          </cell>
          <cell r="AH83">
            <v>-82.7</v>
          </cell>
          <cell r="AI83">
            <v>-208.03</v>
          </cell>
          <cell r="AJ83">
            <v>-4.3600000000000003</v>
          </cell>
          <cell r="AK83">
            <v>-11.370000000000001</v>
          </cell>
          <cell r="AL83">
            <v>-87.06</v>
          </cell>
          <cell r="AM83">
            <v>-219.4</v>
          </cell>
          <cell r="AO83" t="str">
            <v xml:space="preserve">  11.  Other - Not Placed</v>
          </cell>
          <cell r="AP83">
            <v>-9.68</v>
          </cell>
          <cell r="AQ83">
            <v>-23.119999999999997</v>
          </cell>
          <cell r="AR83">
            <v>-6</v>
          </cell>
          <cell r="AS83">
            <v>-12.52</v>
          </cell>
          <cell r="AT83">
            <v>-15.68</v>
          </cell>
          <cell r="AU83">
            <v>-35.64</v>
          </cell>
          <cell r="AW83" t="str">
            <v xml:space="preserve">  11.  Other - Not Placed</v>
          </cell>
          <cell r="AX83">
            <v>-80.680000000000007</v>
          </cell>
          <cell r="AY83">
            <v>-191.12</v>
          </cell>
          <cell r="AZ83">
            <v>-14.9</v>
          </cell>
          <cell r="BA83">
            <v>-35.18</v>
          </cell>
          <cell r="BB83">
            <v>-95.580000000000013</v>
          </cell>
          <cell r="BC83">
            <v>-226.3</v>
          </cell>
        </row>
        <row r="85">
          <cell r="A85" t="str">
            <v>C.   Acute Patient Day Information</v>
          </cell>
          <cell r="I85" t="str">
            <v>C.   Acute Patient Day Information</v>
          </cell>
          <cell r="Q85" t="str">
            <v>C.   Acute Patient Day Information</v>
          </cell>
          <cell r="Y85" t="str">
            <v>C.   Acute Patient Day Information</v>
          </cell>
          <cell r="AG85" t="str">
            <v>C.   Acute Patient Day Information</v>
          </cell>
          <cell r="AO85" t="str">
            <v>C.   Acute Patient Day Information</v>
          </cell>
          <cell r="AW85" t="str">
            <v>C.   Acute Patient Day Information</v>
          </cell>
        </row>
        <row r="86">
          <cell r="A86" t="str">
            <v xml:space="preserve">       a.  Admissions</v>
          </cell>
          <cell r="B86">
            <v>8</v>
          </cell>
          <cell r="C86">
            <v>13</v>
          </cell>
          <cell r="D86">
            <v>1</v>
          </cell>
          <cell r="E86">
            <v>1</v>
          </cell>
          <cell r="F86">
            <v>9</v>
          </cell>
          <cell r="G86">
            <v>14</v>
          </cell>
          <cell r="I86" t="str">
            <v xml:space="preserve">       a.  Admissions</v>
          </cell>
          <cell r="J86">
            <v>9</v>
          </cell>
          <cell r="K86">
            <v>17</v>
          </cell>
          <cell r="L86">
            <v>5</v>
          </cell>
          <cell r="M86">
            <v>8</v>
          </cell>
          <cell r="N86">
            <v>14</v>
          </cell>
          <cell r="O86">
            <v>25</v>
          </cell>
          <cell r="Q86" t="str">
            <v xml:space="preserve">       a.  Admissions</v>
          </cell>
          <cell r="R86">
            <v>5</v>
          </cell>
          <cell r="S86">
            <v>7</v>
          </cell>
          <cell r="T86">
            <v>0</v>
          </cell>
          <cell r="U86">
            <v>0</v>
          </cell>
          <cell r="V86">
            <v>5</v>
          </cell>
          <cell r="W86">
            <v>7</v>
          </cell>
          <cell r="Y86" t="str">
            <v xml:space="preserve">       a.  Admissions</v>
          </cell>
          <cell r="Z86">
            <v>239</v>
          </cell>
          <cell r="AA86">
            <v>486</v>
          </cell>
          <cell r="AB86">
            <v>44</v>
          </cell>
          <cell r="AC86">
            <v>99</v>
          </cell>
          <cell r="AD86">
            <v>283</v>
          </cell>
          <cell r="AE86">
            <v>585</v>
          </cell>
          <cell r="AG86" t="str">
            <v xml:space="preserve">       a.  Admissions</v>
          </cell>
          <cell r="AH86">
            <v>38</v>
          </cell>
          <cell r="AI86">
            <v>79</v>
          </cell>
          <cell r="AJ86">
            <v>13</v>
          </cell>
          <cell r="AK86">
            <v>26</v>
          </cell>
          <cell r="AL86">
            <v>51</v>
          </cell>
          <cell r="AM86">
            <v>105</v>
          </cell>
          <cell r="AO86" t="str">
            <v xml:space="preserve">       a.  Admissions</v>
          </cell>
          <cell r="AP86">
            <v>11</v>
          </cell>
          <cell r="AQ86">
            <v>22</v>
          </cell>
          <cell r="AR86">
            <v>0</v>
          </cell>
          <cell r="AS86">
            <v>4</v>
          </cell>
          <cell r="AT86">
            <v>11</v>
          </cell>
          <cell r="AU86">
            <v>26</v>
          </cell>
          <cell r="AW86" t="str">
            <v xml:space="preserve">       a.  Admissions</v>
          </cell>
          <cell r="AX86">
            <v>35</v>
          </cell>
          <cell r="AY86">
            <v>79</v>
          </cell>
          <cell r="AZ86">
            <v>3</v>
          </cell>
          <cell r="BA86">
            <v>9</v>
          </cell>
          <cell r="BB86">
            <v>38</v>
          </cell>
          <cell r="BC86">
            <v>88</v>
          </cell>
        </row>
        <row r="87">
          <cell r="A87" t="str">
            <v xml:space="preserve">       b.  Patient Days</v>
          </cell>
          <cell r="B87">
            <v>38</v>
          </cell>
          <cell r="C87">
            <v>70</v>
          </cell>
          <cell r="D87">
            <v>7</v>
          </cell>
          <cell r="E87">
            <v>7</v>
          </cell>
          <cell r="F87">
            <v>45</v>
          </cell>
          <cell r="G87">
            <v>77</v>
          </cell>
          <cell r="I87" t="str">
            <v xml:space="preserve">       b.  Patient Days</v>
          </cell>
          <cell r="J87">
            <v>64</v>
          </cell>
          <cell r="K87">
            <v>116</v>
          </cell>
          <cell r="L87">
            <v>26</v>
          </cell>
          <cell r="M87">
            <v>37</v>
          </cell>
          <cell r="N87">
            <v>90</v>
          </cell>
          <cell r="O87">
            <v>153</v>
          </cell>
          <cell r="Q87" t="str">
            <v xml:space="preserve">       b.  Patient Days</v>
          </cell>
          <cell r="R87">
            <v>47</v>
          </cell>
          <cell r="S87">
            <v>64</v>
          </cell>
          <cell r="T87">
            <v>0</v>
          </cell>
          <cell r="U87">
            <v>0</v>
          </cell>
          <cell r="V87">
            <v>47</v>
          </cell>
          <cell r="W87">
            <v>64</v>
          </cell>
          <cell r="Y87" t="str">
            <v xml:space="preserve">       b.  Patient Days</v>
          </cell>
          <cell r="Z87">
            <v>1337</v>
          </cell>
          <cell r="AA87">
            <v>2584</v>
          </cell>
          <cell r="AB87">
            <v>231</v>
          </cell>
          <cell r="AC87">
            <v>558</v>
          </cell>
          <cell r="AD87">
            <v>1568</v>
          </cell>
          <cell r="AE87">
            <v>3142</v>
          </cell>
          <cell r="AG87" t="str">
            <v xml:space="preserve">       b.  Patient Days</v>
          </cell>
          <cell r="AH87">
            <v>257</v>
          </cell>
          <cell r="AI87">
            <v>467</v>
          </cell>
          <cell r="AJ87">
            <v>55</v>
          </cell>
          <cell r="AK87">
            <v>141</v>
          </cell>
          <cell r="AL87">
            <v>312</v>
          </cell>
          <cell r="AM87">
            <v>608</v>
          </cell>
          <cell r="AO87" t="str">
            <v xml:space="preserve">       b.  Patient Days</v>
          </cell>
          <cell r="AP87">
            <v>76</v>
          </cell>
          <cell r="AQ87">
            <v>105</v>
          </cell>
          <cell r="AR87">
            <v>9</v>
          </cell>
          <cell r="AS87">
            <v>31</v>
          </cell>
          <cell r="AT87">
            <v>85</v>
          </cell>
          <cell r="AU87">
            <v>136</v>
          </cell>
          <cell r="AW87" t="str">
            <v xml:space="preserve">       b.  Patient Days</v>
          </cell>
          <cell r="AX87">
            <v>194</v>
          </cell>
          <cell r="AY87">
            <v>508</v>
          </cell>
          <cell r="AZ87">
            <v>6</v>
          </cell>
          <cell r="BA87">
            <v>34</v>
          </cell>
          <cell r="BB87">
            <v>200</v>
          </cell>
          <cell r="BC87">
            <v>542</v>
          </cell>
        </row>
        <row r="88">
          <cell r="A88" t="str">
            <v xml:space="preserve">       c.  Discharges</v>
          </cell>
          <cell r="B88">
            <v>8</v>
          </cell>
          <cell r="C88">
            <v>15</v>
          </cell>
          <cell r="D88">
            <v>1</v>
          </cell>
          <cell r="E88">
            <v>1</v>
          </cell>
          <cell r="F88">
            <v>9</v>
          </cell>
          <cell r="G88">
            <v>16</v>
          </cell>
          <cell r="I88" t="str">
            <v xml:space="preserve">       c.  Discharges</v>
          </cell>
          <cell r="J88">
            <v>11</v>
          </cell>
          <cell r="K88">
            <v>17</v>
          </cell>
          <cell r="L88">
            <v>3</v>
          </cell>
          <cell r="M88">
            <v>7</v>
          </cell>
          <cell r="N88">
            <v>14</v>
          </cell>
          <cell r="O88">
            <v>24</v>
          </cell>
          <cell r="Q88" t="str">
            <v xml:space="preserve">       c.  Discharges</v>
          </cell>
          <cell r="R88">
            <v>5</v>
          </cell>
          <cell r="S88">
            <v>6</v>
          </cell>
          <cell r="T88">
            <v>0</v>
          </cell>
          <cell r="U88">
            <v>0</v>
          </cell>
          <cell r="V88">
            <v>5</v>
          </cell>
          <cell r="W88">
            <v>6</v>
          </cell>
          <cell r="Y88" t="str">
            <v xml:space="preserve">       c.  Discharges</v>
          </cell>
          <cell r="Z88">
            <v>243</v>
          </cell>
          <cell r="AA88">
            <v>470</v>
          </cell>
          <cell r="AB88">
            <v>35</v>
          </cell>
          <cell r="AC88">
            <v>89</v>
          </cell>
          <cell r="AD88">
            <v>278</v>
          </cell>
          <cell r="AE88">
            <v>559</v>
          </cell>
          <cell r="AG88" t="str">
            <v xml:space="preserve">       c.  Discharges</v>
          </cell>
          <cell r="AH88">
            <v>37</v>
          </cell>
          <cell r="AI88">
            <v>76</v>
          </cell>
          <cell r="AJ88">
            <v>13</v>
          </cell>
          <cell r="AK88">
            <v>24</v>
          </cell>
          <cell r="AL88">
            <v>50</v>
          </cell>
          <cell r="AM88">
            <v>100</v>
          </cell>
          <cell r="AO88" t="str">
            <v xml:space="preserve">       c.  Discharges</v>
          </cell>
          <cell r="AP88">
            <v>10</v>
          </cell>
          <cell r="AQ88">
            <v>21</v>
          </cell>
          <cell r="AR88">
            <v>2</v>
          </cell>
          <cell r="AS88">
            <v>4</v>
          </cell>
          <cell r="AT88">
            <v>12</v>
          </cell>
          <cell r="AU88">
            <v>25</v>
          </cell>
          <cell r="AW88" t="str">
            <v xml:space="preserve">       c.  Discharges</v>
          </cell>
          <cell r="AX88">
            <v>36</v>
          </cell>
          <cell r="AY88">
            <v>79</v>
          </cell>
          <cell r="AZ88">
            <v>2</v>
          </cell>
          <cell r="BA88">
            <v>8</v>
          </cell>
          <cell r="BB88">
            <v>38</v>
          </cell>
          <cell r="BC88">
            <v>87</v>
          </cell>
        </row>
        <row r="89">
          <cell r="A89" t="str">
            <v xml:space="preserve">       d.  Discharge Days</v>
          </cell>
          <cell r="B89">
            <v>38</v>
          </cell>
          <cell r="C89">
            <v>70</v>
          </cell>
          <cell r="D89">
            <v>7</v>
          </cell>
          <cell r="E89">
            <v>7</v>
          </cell>
          <cell r="F89">
            <v>45</v>
          </cell>
          <cell r="G89">
            <v>77</v>
          </cell>
          <cell r="I89" t="str">
            <v xml:space="preserve">       d.  Discharge Days</v>
          </cell>
          <cell r="J89">
            <v>59</v>
          </cell>
          <cell r="K89">
            <v>94</v>
          </cell>
          <cell r="L89">
            <v>21</v>
          </cell>
          <cell r="M89">
            <v>32</v>
          </cell>
          <cell r="N89">
            <v>80</v>
          </cell>
          <cell r="O89">
            <v>126</v>
          </cell>
          <cell r="Q89" t="str">
            <v xml:space="preserve">       d.  Discharge Days</v>
          </cell>
          <cell r="R89">
            <v>44</v>
          </cell>
          <cell r="S89">
            <v>47</v>
          </cell>
          <cell r="T89">
            <v>0</v>
          </cell>
          <cell r="U89">
            <v>0</v>
          </cell>
          <cell r="V89">
            <v>44</v>
          </cell>
          <cell r="W89">
            <v>47</v>
          </cell>
          <cell r="Y89" t="str">
            <v xml:space="preserve">       d.  Discharge Days</v>
          </cell>
          <cell r="Z89">
            <v>1082</v>
          </cell>
          <cell r="AA89">
            <v>2030</v>
          </cell>
          <cell r="AB89">
            <v>153</v>
          </cell>
          <cell r="AC89">
            <v>427</v>
          </cell>
          <cell r="AD89">
            <v>1235</v>
          </cell>
          <cell r="AE89">
            <v>2457</v>
          </cell>
          <cell r="AG89" t="str">
            <v xml:space="preserve">       d.  Discharge Days</v>
          </cell>
          <cell r="AH89">
            <v>207</v>
          </cell>
          <cell r="AI89">
            <v>378</v>
          </cell>
          <cell r="AJ89">
            <v>47</v>
          </cell>
          <cell r="AK89">
            <v>113</v>
          </cell>
          <cell r="AL89">
            <v>254</v>
          </cell>
          <cell r="AM89">
            <v>491</v>
          </cell>
          <cell r="AO89" t="str">
            <v xml:space="preserve">       d.  Discharge Days</v>
          </cell>
          <cell r="AP89">
            <v>64</v>
          </cell>
          <cell r="AQ89">
            <v>91</v>
          </cell>
          <cell r="AR89">
            <v>9</v>
          </cell>
          <cell r="AS89">
            <v>12</v>
          </cell>
          <cell r="AT89">
            <v>73</v>
          </cell>
          <cell r="AU89">
            <v>103</v>
          </cell>
          <cell r="AW89" t="str">
            <v xml:space="preserve">       d.  Discharge Days</v>
          </cell>
          <cell r="AX89">
            <v>137</v>
          </cell>
          <cell r="AY89">
            <v>362</v>
          </cell>
          <cell r="AZ89">
            <v>3</v>
          </cell>
          <cell r="BA89">
            <v>31</v>
          </cell>
          <cell r="BB89">
            <v>140</v>
          </cell>
          <cell r="BC89">
            <v>393</v>
          </cell>
        </row>
        <row r="90">
          <cell r="A90" t="str">
            <v xml:space="preserve">       e.  Average Length of Stay</v>
          </cell>
          <cell r="B90">
            <v>4.75</v>
          </cell>
          <cell r="C90">
            <v>4.666666666666667</v>
          </cell>
          <cell r="D90">
            <v>7</v>
          </cell>
          <cell r="E90">
            <v>7</v>
          </cell>
          <cell r="F90">
            <v>5</v>
          </cell>
          <cell r="G90">
            <v>4.8125</v>
          </cell>
          <cell r="I90" t="str">
            <v xml:space="preserve">       e.  Average Length of Stay</v>
          </cell>
          <cell r="J90">
            <v>5.3636363636363633</v>
          </cell>
          <cell r="K90">
            <v>5.5294117647058822</v>
          </cell>
          <cell r="L90">
            <v>7</v>
          </cell>
          <cell r="M90">
            <v>4.5714285714285712</v>
          </cell>
          <cell r="N90">
            <v>5.7142857142857144</v>
          </cell>
          <cell r="O90">
            <v>5.25</v>
          </cell>
          <cell r="Q90" t="str">
            <v xml:space="preserve">       e.  Average Length of Stay</v>
          </cell>
          <cell r="R90">
            <v>8.8000000000000007</v>
          </cell>
          <cell r="S90">
            <v>7.833333333333333</v>
          </cell>
          <cell r="T90">
            <v>0</v>
          </cell>
          <cell r="U90">
            <v>0</v>
          </cell>
          <cell r="V90">
            <v>8.8000000000000007</v>
          </cell>
          <cell r="W90">
            <v>7.833333333333333</v>
          </cell>
          <cell r="Y90" t="str">
            <v xml:space="preserve">       e.  Average Length of Stay</v>
          </cell>
          <cell r="Z90">
            <v>4.4526748971193415</v>
          </cell>
          <cell r="AA90">
            <v>4.3191489361702127</v>
          </cell>
          <cell r="AB90">
            <v>4.371428571428571</v>
          </cell>
          <cell r="AC90">
            <v>4.797752808988764</v>
          </cell>
          <cell r="AD90">
            <v>4.442446043165468</v>
          </cell>
          <cell r="AE90">
            <v>4.3953488372093021</v>
          </cell>
          <cell r="AG90" t="str">
            <v xml:space="preserve">       e.  Average Length of Stay</v>
          </cell>
          <cell r="AH90">
            <v>5.5945945945945947</v>
          </cell>
          <cell r="AI90">
            <v>4.9736842105263159</v>
          </cell>
          <cell r="AJ90">
            <v>3.6153846153846154</v>
          </cell>
          <cell r="AK90">
            <v>4.708333333333333</v>
          </cell>
          <cell r="AL90">
            <v>5.08</v>
          </cell>
          <cell r="AM90">
            <v>4.91</v>
          </cell>
          <cell r="AO90" t="str">
            <v xml:space="preserve">       e.  Average Length of Stay</v>
          </cell>
          <cell r="AP90">
            <v>6.4</v>
          </cell>
          <cell r="AQ90">
            <v>4.333333333333333</v>
          </cell>
          <cell r="AR90">
            <v>4.5</v>
          </cell>
          <cell r="AS90">
            <v>3</v>
          </cell>
          <cell r="AT90">
            <v>6.083333333333333</v>
          </cell>
          <cell r="AU90">
            <v>4.12</v>
          </cell>
          <cell r="AW90" t="str">
            <v xml:space="preserve">       e.  Average Length of Stay</v>
          </cell>
          <cell r="AX90">
            <v>3.8055555555555554</v>
          </cell>
          <cell r="AY90">
            <v>4.5822784810126587</v>
          </cell>
          <cell r="AZ90">
            <v>1.5</v>
          </cell>
          <cell r="BA90">
            <v>3.875</v>
          </cell>
          <cell r="BB90">
            <v>3.6842105263157894</v>
          </cell>
          <cell r="BC90">
            <v>4.5172413793103452</v>
          </cell>
        </row>
        <row r="92">
          <cell r="A92" t="str">
            <v>D.   Emergency Room Visits</v>
          </cell>
          <cell r="B92">
            <v>2</v>
          </cell>
          <cell r="C92">
            <v>6</v>
          </cell>
          <cell r="D92">
            <v>2</v>
          </cell>
          <cell r="E92">
            <v>3</v>
          </cell>
          <cell r="F92">
            <v>4</v>
          </cell>
          <cell r="G92">
            <v>9</v>
          </cell>
          <cell r="I92" t="str">
            <v>D.   Emergency Room Visits</v>
          </cell>
          <cell r="J92">
            <v>5</v>
          </cell>
          <cell r="K92">
            <v>12</v>
          </cell>
          <cell r="L92">
            <v>5</v>
          </cell>
          <cell r="M92">
            <v>7</v>
          </cell>
          <cell r="N92">
            <v>10</v>
          </cell>
          <cell r="O92">
            <v>19</v>
          </cell>
          <cell r="Q92" t="str">
            <v>D.   Emergency Room Visits</v>
          </cell>
          <cell r="R92">
            <v>1</v>
          </cell>
          <cell r="S92">
            <v>5</v>
          </cell>
          <cell r="T92">
            <v>0</v>
          </cell>
          <cell r="U92">
            <v>1</v>
          </cell>
          <cell r="V92">
            <v>1</v>
          </cell>
          <cell r="W92">
            <v>6</v>
          </cell>
          <cell r="Y92" t="str">
            <v>D.   Emergency Room Visits</v>
          </cell>
          <cell r="Z92">
            <v>95</v>
          </cell>
          <cell r="AA92">
            <v>168</v>
          </cell>
          <cell r="AB92">
            <v>59</v>
          </cell>
          <cell r="AC92">
            <v>90</v>
          </cell>
          <cell r="AD92">
            <v>154</v>
          </cell>
          <cell r="AE92">
            <v>258</v>
          </cell>
          <cell r="AG92" t="str">
            <v>D.   Emergency Room Visits</v>
          </cell>
          <cell r="AH92">
            <v>43</v>
          </cell>
          <cell r="AI92">
            <v>74</v>
          </cell>
          <cell r="AJ92">
            <v>11</v>
          </cell>
          <cell r="AK92">
            <v>20</v>
          </cell>
          <cell r="AL92">
            <v>54</v>
          </cell>
          <cell r="AM92">
            <v>94</v>
          </cell>
          <cell r="AO92" t="str">
            <v>D.   Emergency Room Visits</v>
          </cell>
          <cell r="AP92">
            <v>9</v>
          </cell>
          <cell r="AQ92">
            <v>16</v>
          </cell>
          <cell r="AR92">
            <v>4</v>
          </cell>
          <cell r="AS92">
            <v>8</v>
          </cell>
          <cell r="AT92">
            <v>13</v>
          </cell>
          <cell r="AU92">
            <v>24</v>
          </cell>
          <cell r="AW92" t="str">
            <v>D.   Emergency Room Visits</v>
          </cell>
          <cell r="AX92">
            <v>17</v>
          </cell>
          <cell r="AY92">
            <v>30</v>
          </cell>
          <cell r="AZ92">
            <v>9</v>
          </cell>
          <cell r="BA92">
            <v>9</v>
          </cell>
          <cell r="BB92">
            <v>26</v>
          </cell>
          <cell r="BC92">
            <v>39</v>
          </cell>
        </row>
        <row r="96">
          <cell r="A96" t="str">
            <v>Program Contractor Financial Reporting Systems - Report #11A Utilization Data Report by County</v>
          </cell>
          <cell r="I96" t="str">
            <v>Program Contractor Financial Reporting Systems - Report #11A Utilization Data Report by County</v>
          </cell>
          <cell r="Q96" t="str">
            <v>Program Contractor Financial Reporting Systems - Report #11A Utilization Data Report by County</v>
          </cell>
          <cell r="Y96" t="str">
            <v>Program Contractor Financial Reporting Systems - Report #11A Utilization Data Report by County</v>
          </cell>
          <cell r="AG96" t="str">
            <v>Program Contractor Financial Reporting Systems - Report #11A Utilization Data Report by County</v>
          </cell>
          <cell r="AO96" t="str">
            <v>Program Contractor Financial Reporting Systems - Report #11A Utilization Data Report by County</v>
          </cell>
          <cell r="AW96" t="str">
            <v>Program Contractor Financial Reporting Systems - Report #11A Utilization Data Report by County</v>
          </cell>
        </row>
        <row r="98">
          <cell r="A98" t="str">
            <v>Statement for Program Contractor 110049 - Evercare of Arizona, Inc.</v>
          </cell>
          <cell r="F98" t="str">
            <v>County:</v>
          </cell>
          <cell r="G98" t="str">
            <v>Apache</v>
          </cell>
          <cell r="I98" t="str">
            <v>Statement for Program Contractor 110049 - Evercare of Arizona, Inc.</v>
          </cell>
          <cell r="N98" t="str">
            <v>County:</v>
          </cell>
          <cell r="O98" t="str">
            <v>Coconino</v>
          </cell>
          <cell r="Q98" t="str">
            <v>Statement for Program Contractor 110049 - Evercare of Arizona, Inc.</v>
          </cell>
          <cell r="V98" t="str">
            <v>County:</v>
          </cell>
          <cell r="W98" t="str">
            <v>La Paz</v>
          </cell>
          <cell r="Y98" t="str">
            <v>Statement for Program Contractor 110049 - Evercare of Arizona, Inc.</v>
          </cell>
          <cell r="AD98" t="str">
            <v>County:</v>
          </cell>
          <cell r="AE98" t="str">
            <v>Maricopa</v>
          </cell>
          <cell r="AG98" t="str">
            <v>Statement for Program Contractor 110049 - Evercare of Arizona, Inc.</v>
          </cell>
          <cell r="AL98" t="str">
            <v>County:</v>
          </cell>
          <cell r="AM98" t="str">
            <v>Mohave</v>
          </cell>
          <cell r="AO98" t="str">
            <v>Statement for Program Contractor 110049 - Evercare of Arizona, Inc.</v>
          </cell>
          <cell r="AT98" t="str">
            <v>County:</v>
          </cell>
          <cell r="AU98" t="str">
            <v>Navajo</v>
          </cell>
          <cell r="AW98" t="str">
            <v>Statement for Program Contractor 110049 - Evercare of Arizona, Inc.</v>
          </cell>
          <cell r="BB98" t="str">
            <v>County:</v>
          </cell>
          <cell r="BC98" t="str">
            <v>Yuma</v>
          </cell>
        </row>
        <row r="100">
          <cell r="A100" t="str">
            <v>For the Month ending 12/31/2005 in the Fiscal Year ending 9/30/2006</v>
          </cell>
          <cell r="F100" t="str">
            <v>Page 3 of 21</v>
          </cell>
          <cell r="I100" t="str">
            <v>For the Month ending 12/31/2005 in the Fiscal Year ending 9/30/2006</v>
          </cell>
          <cell r="N100" t="str">
            <v>Page 6 of 21</v>
          </cell>
          <cell r="Q100" t="str">
            <v>For the Month ending 12/31/2005 in the Fiscal Year ending 9/30/2006</v>
          </cell>
          <cell r="V100" t="str">
            <v>Page 9 of 21</v>
          </cell>
          <cell r="Y100" t="str">
            <v>For the Month ending 12/31/2005 in the Fiscal Year ending 9/30/2006</v>
          </cell>
          <cell r="AD100" t="str">
            <v>Page 12 of 21</v>
          </cell>
          <cell r="AG100" t="str">
            <v>For the Month ending 12/31/2005 in the Fiscal Year ending 9/30/2006</v>
          </cell>
          <cell r="AL100" t="str">
            <v>Page 15 of 21</v>
          </cell>
          <cell r="AO100" t="str">
            <v>For the Month ending 12/31/2005 in the Fiscal Year ending 9/30/2006</v>
          </cell>
          <cell r="AT100" t="str">
            <v>Page 18 of 21</v>
          </cell>
          <cell r="AW100" t="str">
            <v>For the Month ending 12/31/2005 in the Fiscal Year ending 9/30/2006</v>
          </cell>
          <cell r="BB100" t="str">
            <v>Page 21 of 21</v>
          </cell>
        </row>
        <row r="103">
          <cell r="A103" t="str">
            <v>Utilization Data Report by County</v>
          </cell>
          <cell r="I103" t="str">
            <v>Utilization Data Report by County</v>
          </cell>
          <cell r="Q103" t="str">
            <v>Utilization Data Report by County</v>
          </cell>
          <cell r="Y103" t="str">
            <v>Utilization Data Report by County</v>
          </cell>
          <cell r="AG103" t="str">
            <v>Utilization Data Report by County</v>
          </cell>
          <cell r="AO103" t="str">
            <v>Utilization Data Report by County</v>
          </cell>
          <cell r="AW103" t="str">
            <v>Utilization Data Report by County</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cell r="AH105" t="str">
            <v>MEDICARE</v>
          </cell>
          <cell r="AJ105" t="str">
            <v>NON-MEDICARE</v>
          </cell>
          <cell r="AL105" t="str">
            <v>TOTAL</v>
          </cell>
          <cell r="AP105" t="str">
            <v>MEDICARE</v>
          </cell>
          <cell r="AR105" t="str">
            <v>NON-MEDICARE</v>
          </cell>
          <cell r="AT105" t="str">
            <v>TOTAL</v>
          </cell>
          <cell r="AX105" t="str">
            <v>MEDICARE</v>
          </cell>
          <cell r="AZ105" t="str">
            <v>NON-MEDICARE</v>
          </cell>
          <cell r="BB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cell r="AG106" t="str">
            <v>ITEM DESCRIPTION</v>
          </cell>
          <cell r="AH106" t="str">
            <v>Current</v>
          </cell>
          <cell r="AJ106" t="str">
            <v>Current</v>
          </cell>
          <cell r="AL106" t="str">
            <v>Current</v>
          </cell>
          <cell r="AO106" t="str">
            <v>ITEM DESCRIPTION</v>
          </cell>
          <cell r="AP106" t="str">
            <v>Current</v>
          </cell>
          <cell r="AR106" t="str">
            <v>Current</v>
          </cell>
          <cell r="AT106" t="str">
            <v>Current</v>
          </cell>
          <cell r="AW106" t="str">
            <v>ITEM DESCRIPTION</v>
          </cell>
          <cell r="AX106" t="str">
            <v>Current</v>
          </cell>
          <cell r="AZ106" t="str">
            <v>Current</v>
          </cell>
          <cell r="BB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cell r="AH107" t="str">
            <v>Period</v>
          </cell>
          <cell r="AI107" t="str">
            <v>YTD</v>
          </cell>
          <cell r="AJ107" t="str">
            <v>Period</v>
          </cell>
          <cell r="AK107" t="str">
            <v>YTD</v>
          </cell>
          <cell r="AL107" t="str">
            <v>Period</v>
          </cell>
          <cell r="AM107" t="str">
            <v>YTD</v>
          </cell>
          <cell r="AP107" t="str">
            <v>Period</v>
          </cell>
          <cell r="AQ107" t="str">
            <v>YTD</v>
          </cell>
          <cell r="AR107" t="str">
            <v>Period</v>
          </cell>
          <cell r="AS107" t="str">
            <v>YTD</v>
          </cell>
          <cell r="AT107" t="str">
            <v>Period</v>
          </cell>
          <cell r="AU107" t="str">
            <v>YTD</v>
          </cell>
          <cell r="AX107" t="str">
            <v>Period</v>
          </cell>
          <cell r="AY107" t="str">
            <v>YTD</v>
          </cell>
          <cell r="AZ107" t="str">
            <v>Period</v>
          </cell>
          <cell r="BA107" t="str">
            <v>YTD</v>
          </cell>
          <cell r="BB107" t="str">
            <v>Period</v>
          </cell>
          <cell r="BC107" t="str">
            <v>YTD</v>
          </cell>
        </row>
        <row r="108">
          <cell r="A108" t="str">
            <v>A.   Enrollees (At End of Period)</v>
          </cell>
          <cell r="B108">
            <v>58</v>
          </cell>
          <cell r="D108">
            <v>18</v>
          </cell>
          <cell r="F108">
            <v>76</v>
          </cell>
          <cell r="I108" t="str">
            <v>A.   Enrollees (At End of Period)</v>
          </cell>
          <cell r="J108">
            <v>147</v>
          </cell>
          <cell r="L108">
            <v>37</v>
          </cell>
          <cell r="N108">
            <v>184</v>
          </cell>
          <cell r="Q108" t="str">
            <v>A.   Enrollees (At End of Period)</v>
          </cell>
          <cell r="R108">
            <v>65</v>
          </cell>
          <cell r="T108">
            <v>6</v>
          </cell>
          <cell r="V108">
            <v>71</v>
          </cell>
          <cell r="Y108" t="str">
            <v>A.   Enrollees (At End of Period)</v>
          </cell>
          <cell r="Z108">
            <v>4533</v>
          </cell>
          <cell r="AB108">
            <v>643</v>
          </cell>
          <cell r="AD108">
            <v>5176</v>
          </cell>
          <cell r="AG108" t="str">
            <v>A.   Enrollees (At End of Period)</v>
          </cell>
          <cell r="AH108">
            <v>712</v>
          </cell>
          <cell r="AJ108">
            <v>101</v>
          </cell>
          <cell r="AL108">
            <v>813</v>
          </cell>
          <cell r="AO108" t="str">
            <v>A.   Enrollees (At End of Period)</v>
          </cell>
          <cell r="AP108">
            <v>176</v>
          </cell>
          <cell r="AR108">
            <v>46</v>
          </cell>
          <cell r="AT108">
            <v>222</v>
          </cell>
          <cell r="AW108" t="str">
            <v>A.   Enrollees (At End of Period)</v>
          </cell>
          <cell r="AX108">
            <v>500</v>
          </cell>
          <cell r="AZ108">
            <v>100</v>
          </cell>
          <cell r="BB108">
            <v>600</v>
          </cell>
        </row>
        <row r="110">
          <cell r="A110" t="str">
            <v>B.   Member Months (Unduplicated)</v>
          </cell>
          <cell r="B110">
            <v>57.250000000000007</v>
          </cell>
          <cell r="C110">
            <v>190.88669999999996</v>
          </cell>
          <cell r="D110">
            <v>17.420000000000002</v>
          </cell>
          <cell r="E110">
            <v>54.75</v>
          </cell>
          <cell r="F110">
            <v>74.670000000000016</v>
          </cell>
          <cell r="G110">
            <v>245.63669999999996</v>
          </cell>
          <cell r="I110" t="str">
            <v>B.   Member Months (Unduplicated)</v>
          </cell>
          <cell r="J110">
            <v>152.76810000000003</v>
          </cell>
          <cell r="K110">
            <v>513.7274000000001</v>
          </cell>
          <cell r="L110">
            <v>37.003300000000003</v>
          </cell>
          <cell r="M110">
            <v>110.61330000000001</v>
          </cell>
          <cell r="N110">
            <v>189.77140000000003</v>
          </cell>
          <cell r="O110">
            <v>624.34070000000008</v>
          </cell>
          <cell r="Q110" t="str">
            <v>B.   Member Months (Unduplicated)</v>
          </cell>
          <cell r="R110">
            <v>66.033900000000017</v>
          </cell>
          <cell r="S110">
            <v>222.08120000000002</v>
          </cell>
          <cell r="T110">
            <v>6</v>
          </cell>
          <cell r="U110">
            <v>17.07</v>
          </cell>
          <cell r="V110">
            <v>72.033900000000017</v>
          </cell>
          <cell r="W110">
            <v>239.15120000000002</v>
          </cell>
          <cell r="Y110" t="str">
            <v>B.   Member Months (Unduplicated)</v>
          </cell>
          <cell r="Z110">
            <v>4695.8126999999995</v>
          </cell>
          <cell r="AA110">
            <v>13367.081800000002</v>
          </cell>
          <cell r="AB110">
            <v>607.0003999999999</v>
          </cell>
          <cell r="AC110">
            <v>1964.4491000000003</v>
          </cell>
          <cell r="AD110">
            <v>5302.8130999999994</v>
          </cell>
          <cell r="AE110">
            <v>15331.530900000002</v>
          </cell>
          <cell r="AG110" t="str">
            <v>B.   Member Months (Unduplicated)</v>
          </cell>
          <cell r="AH110">
            <v>725.88469999999995</v>
          </cell>
          <cell r="AI110">
            <v>2465.0030999999999</v>
          </cell>
          <cell r="AJ110">
            <v>98.62</v>
          </cell>
          <cell r="AK110">
            <v>338.37329999999997</v>
          </cell>
          <cell r="AL110">
            <v>824.50469999999996</v>
          </cell>
          <cell r="AM110">
            <v>2803.3764000000001</v>
          </cell>
          <cell r="AO110" t="str">
            <v>B.   Member Months (Unduplicated)</v>
          </cell>
          <cell r="AP110">
            <v>177.46519999999998</v>
          </cell>
          <cell r="AQ110">
            <v>588.85000000000014</v>
          </cell>
          <cell r="AR110">
            <v>45.32</v>
          </cell>
          <cell r="AS110">
            <v>145.74229999999997</v>
          </cell>
          <cell r="AT110">
            <v>222.78519999999997</v>
          </cell>
          <cell r="AU110">
            <v>734.59230000000014</v>
          </cell>
          <cell r="AW110" t="str">
            <v>B.   Member Months (Unduplicated)</v>
          </cell>
          <cell r="AX110">
            <v>496.97170000000006</v>
          </cell>
          <cell r="AY110">
            <v>1674.2218</v>
          </cell>
          <cell r="AZ110">
            <v>100.36</v>
          </cell>
          <cell r="BA110">
            <v>331.96999999999997</v>
          </cell>
          <cell r="BB110">
            <v>597.33170000000007</v>
          </cell>
          <cell r="BC110">
            <v>2006.1918000000001</v>
          </cell>
        </row>
        <row r="111">
          <cell r="A111" t="str">
            <v xml:space="preserve">   Institutional Member Months Total</v>
          </cell>
          <cell r="B111">
            <v>6</v>
          </cell>
          <cell r="C111">
            <v>15.7</v>
          </cell>
          <cell r="D111">
            <v>3.58</v>
          </cell>
          <cell r="E111">
            <v>11.14</v>
          </cell>
          <cell r="F111">
            <v>9.58</v>
          </cell>
          <cell r="G111">
            <v>26.84</v>
          </cell>
          <cell r="I111" t="str">
            <v xml:space="preserve">   Institutional Member Months Total</v>
          </cell>
          <cell r="J111">
            <v>55.61</v>
          </cell>
          <cell r="K111">
            <v>190.48</v>
          </cell>
          <cell r="L111">
            <v>4.13</v>
          </cell>
          <cell r="M111">
            <v>12.73</v>
          </cell>
          <cell r="N111">
            <v>59.74</v>
          </cell>
          <cell r="O111">
            <v>203.20999999999998</v>
          </cell>
          <cell r="Q111" t="str">
            <v xml:space="preserve">   Institutional Member Months Total</v>
          </cell>
          <cell r="R111">
            <v>37.550000000000004</v>
          </cell>
          <cell r="S111">
            <v>122.66999999999999</v>
          </cell>
          <cell r="T111">
            <v>1</v>
          </cell>
          <cell r="U111">
            <v>3</v>
          </cell>
          <cell r="V111">
            <v>38.550000000000004</v>
          </cell>
          <cell r="W111">
            <v>125.66999999999999</v>
          </cell>
          <cell r="Y111" t="str">
            <v xml:space="preserve">   Institutional Member Months Total</v>
          </cell>
          <cell r="Z111">
            <v>1586.05</v>
          </cell>
          <cell r="AA111">
            <v>5378.2800000000007</v>
          </cell>
          <cell r="AB111">
            <v>145.41999999999999</v>
          </cell>
          <cell r="AC111">
            <v>460.42000000000007</v>
          </cell>
          <cell r="AD111">
            <v>1731.47</v>
          </cell>
          <cell r="AE111">
            <v>5838.7000000000007</v>
          </cell>
          <cell r="AG111" t="str">
            <v xml:space="preserve">   Institutional Member Months Total</v>
          </cell>
          <cell r="AH111">
            <v>394.08</v>
          </cell>
          <cell r="AI111">
            <v>1342.8</v>
          </cell>
          <cell r="AJ111">
            <v>27.45</v>
          </cell>
          <cell r="AK111">
            <v>92.289999999999992</v>
          </cell>
          <cell r="AL111">
            <v>421.53</v>
          </cell>
          <cell r="AM111">
            <v>1435.09</v>
          </cell>
          <cell r="AO111" t="str">
            <v xml:space="preserve">   Institutional Member Months Total</v>
          </cell>
          <cell r="AP111">
            <v>34.620000000000005</v>
          </cell>
          <cell r="AQ111">
            <v>111.26</v>
          </cell>
          <cell r="AR111">
            <v>8</v>
          </cell>
          <cell r="AS111">
            <v>25.259999999999998</v>
          </cell>
          <cell r="AT111">
            <v>42.620000000000005</v>
          </cell>
          <cell r="AU111">
            <v>136.52000000000001</v>
          </cell>
          <cell r="AW111" t="str">
            <v xml:space="preserve">   Institutional Member Months Total</v>
          </cell>
          <cell r="AX111">
            <v>260.12</v>
          </cell>
          <cell r="AY111">
            <v>878.52</v>
          </cell>
          <cell r="AZ111">
            <v>35.74</v>
          </cell>
          <cell r="BA111">
            <v>113.56</v>
          </cell>
          <cell r="BB111">
            <v>295.86</v>
          </cell>
          <cell r="BC111">
            <v>992.07999999999993</v>
          </cell>
        </row>
        <row r="112">
          <cell r="A112" t="str">
            <v xml:space="preserve">   1.  Level I</v>
          </cell>
          <cell r="B112">
            <v>2</v>
          </cell>
          <cell r="C112">
            <v>6.81</v>
          </cell>
          <cell r="D112">
            <v>2.58</v>
          </cell>
          <cell r="E112">
            <v>8.14</v>
          </cell>
          <cell r="F112">
            <v>4.58</v>
          </cell>
          <cell r="G112">
            <v>14.95</v>
          </cell>
          <cell r="I112" t="str">
            <v xml:space="preserve">   1.  Level I</v>
          </cell>
          <cell r="J112">
            <v>24.8</v>
          </cell>
          <cell r="K112">
            <v>86.49</v>
          </cell>
          <cell r="L112">
            <v>2.13</v>
          </cell>
          <cell r="M112">
            <v>8.23</v>
          </cell>
          <cell r="N112">
            <v>26.93</v>
          </cell>
          <cell r="O112">
            <v>94.72</v>
          </cell>
          <cell r="Q112" t="str">
            <v xml:space="preserve">   1.  Level I</v>
          </cell>
          <cell r="R112">
            <v>24.19</v>
          </cell>
          <cell r="S112">
            <v>78.349999999999994</v>
          </cell>
          <cell r="T112">
            <v>0</v>
          </cell>
          <cell r="U112">
            <v>0</v>
          </cell>
          <cell r="V112">
            <v>24.19</v>
          </cell>
          <cell r="W112">
            <v>78.349999999999994</v>
          </cell>
          <cell r="Y112" t="str">
            <v xml:space="preserve">   1.  Level I</v>
          </cell>
          <cell r="Z112">
            <v>1077.8699999999999</v>
          </cell>
          <cell r="AA112">
            <v>3650.05</v>
          </cell>
          <cell r="AB112">
            <v>91.67</v>
          </cell>
          <cell r="AC112">
            <v>288.17</v>
          </cell>
          <cell r="AD112">
            <v>1169.54</v>
          </cell>
          <cell r="AE112">
            <v>3938.2200000000003</v>
          </cell>
          <cell r="AG112" t="str">
            <v xml:space="preserve">   1.  Level I</v>
          </cell>
          <cell r="AH112">
            <v>177.9</v>
          </cell>
          <cell r="AI112">
            <v>607.04999999999995</v>
          </cell>
          <cell r="AJ112">
            <v>13</v>
          </cell>
          <cell r="AK112">
            <v>46.1</v>
          </cell>
          <cell r="AL112">
            <v>190.9</v>
          </cell>
          <cell r="AM112">
            <v>653.15</v>
          </cell>
          <cell r="AO112" t="str">
            <v xml:space="preserve">   1.  Level I</v>
          </cell>
          <cell r="AP112">
            <v>20.420000000000002</v>
          </cell>
          <cell r="AQ112">
            <v>64.41</v>
          </cell>
          <cell r="AR112">
            <v>7</v>
          </cell>
          <cell r="AS112">
            <v>22.259999999999998</v>
          </cell>
          <cell r="AT112">
            <v>27.42</v>
          </cell>
          <cell r="AU112">
            <v>86.669999999999987</v>
          </cell>
          <cell r="AW112" t="str">
            <v xml:space="preserve">   1.  Level I</v>
          </cell>
          <cell r="AX112">
            <v>142.53</v>
          </cell>
          <cell r="AY112">
            <v>471.98</v>
          </cell>
          <cell r="AZ112">
            <v>21.39</v>
          </cell>
          <cell r="BA112">
            <v>69.94</v>
          </cell>
          <cell r="BB112">
            <v>163.92000000000002</v>
          </cell>
          <cell r="BC112">
            <v>541.92000000000007</v>
          </cell>
        </row>
        <row r="113">
          <cell r="A113" t="str">
            <v xml:space="preserve">   2.  Level II</v>
          </cell>
          <cell r="B113">
            <v>3</v>
          </cell>
          <cell r="C113">
            <v>6.73</v>
          </cell>
          <cell r="D113">
            <v>1</v>
          </cell>
          <cell r="E113">
            <v>3</v>
          </cell>
          <cell r="F113">
            <v>4</v>
          </cell>
          <cell r="G113">
            <v>9.73</v>
          </cell>
          <cell r="I113" t="str">
            <v xml:space="preserve">   2.  Level II</v>
          </cell>
          <cell r="J113">
            <v>25.81</v>
          </cell>
          <cell r="K113">
            <v>87.8</v>
          </cell>
          <cell r="L113">
            <v>1</v>
          </cell>
          <cell r="M113">
            <v>3</v>
          </cell>
          <cell r="N113">
            <v>26.81</v>
          </cell>
          <cell r="O113">
            <v>90.8</v>
          </cell>
          <cell r="Q113" t="str">
            <v xml:space="preserve">   2.  Level II</v>
          </cell>
          <cell r="R113">
            <v>10.68</v>
          </cell>
          <cell r="S113">
            <v>37.57</v>
          </cell>
          <cell r="T113">
            <v>1</v>
          </cell>
          <cell r="U113">
            <v>3</v>
          </cell>
          <cell r="V113">
            <v>11.68</v>
          </cell>
          <cell r="W113">
            <v>40.57</v>
          </cell>
          <cell r="Y113" t="str">
            <v xml:space="preserve">   2.  Level II</v>
          </cell>
          <cell r="Z113">
            <v>449.96</v>
          </cell>
          <cell r="AA113">
            <v>1526.49</v>
          </cell>
          <cell r="AB113">
            <v>39.78</v>
          </cell>
          <cell r="AC113">
            <v>127.19</v>
          </cell>
          <cell r="AD113">
            <v>489.74</v>
          </cell>
          <cell r="AE113">
            <v>1653.68</v>
          </cell>
          <cell r="AG113" t="str">
            <v xml:space="preserve">   2.  Level II</v>
          </cell>
          <cell r="AH113">
            <v>178.51</v>
          </cell>
          <cell r="AI113">
            <v>602.55999999999995</v>
          </cell>
          <cell r="AJ113">
            <v>9.4499999999999993</v>
          </cell>
          <cell r="AK113">
            <v>28.279999999999998</v>
          </cell>
          <cell r="AL113">
            <v>187.95999999999998</v>
          </cell>
          <cell r="AM113">
            <v>630.83999999999992</v>
          </cell>
          <cell r="AO113" t="str">
            <v xml:space="preserve">   2.  Level II</v>
          </cell>
          <cell r="AP113">
            <v>12.2</v>
          </cell>
          <cell r="AQ113">
            <v>39.450000000000003</v>
          </cell>
          <cell r="AR113">
            <v>1</v>
          </cell>
          <cell r="AS113">
            <v>3</v>
          </cell>
          <cell r="AT113">
            <v>13.2</v>
          </cell>
          <cell r="AU113">
            <v>42.45</v>
          </cell>
          <cell r="AW113" t="str">
            <v xml:space="preserve">   2.  Level II</v>
          </cell>
          <cell r="AX113">
            <v>102.81</v>
          </cell>
          <cell r="AY113">
            <v>357.26</v>
          </cell>
          <cell r="AZ113">
            <v>9.35</v>
          </cell>
          <cell r="BA113">
            <v>27.619999999999997</v>
          </cell>
          <cell r="BB113">
            <v>112.16</v>
          </cell>
          <cell r="BC113">
            <v>384.88</v>
          </cell>
        </row>
        <row r="114">
          <cell r="A114" t="str">
            <v xml:space="preserve">   3.  Level III</v>
          </cell>
          <cell r="B114">
            <v>1</v>
          </cell>
          <cell r="C114">
            <v>2.16</v>
          </cell>
          <cell r="D114">
            <v>0</v>
          </cell>
          <cell r="E114">
            <v>0</v>
          </cell>
          <cell r="F114">
            <v>1</v>
          </cell>
          <cell r="G114">
            <v>2.16</v>
          </cell>
          <cell r="I114" t="str">
            <v xml:space="preserve">   3.  Level III</v>
          </cell>
          <cell r="J114">
            <v>5</v>
          </cell>
          <cell r="K114">
            <v>16.190000000000001</v>
          </cell>
          <cell r="L114">
            <v>1</v>
          </cell>
          <cell r="M114">
            <v>1.5</v>
          </cell>
          <cell r="N114">
            <v>6</v>
          </cell>
          <cell r="O114">
            <v>17.690000000000001</v>
          </cell>
          <cell r="Q114" t="str">
            <v xml:space="preserve">   3.  Level III</v>
          </cell>
          <cell r="R114">
            <v>2.68</v>
          </cell>
          <cell r="S114">
            <v>6.75</v>
          </cell>
          <cell r="T114">
            <v>0</v>
          </cell>
          <cell r="U114">
            <v>0</v>
          </cell>
          <cell r="V114">
            <v>2.68</v>
          </cell>
          <cell r="W114">
            <v>6.75</v>
          </cell>
          <cell r="Y114" t="str">
            <v xml:space="preserve">   3.  Level III</v>
          </cell>
          <cell r="Z114">
            <v>57.28</v>
          </cell>
          <cell r="AA114">
            <v>200.77</v>
          </cell>
          <cell r="AB114">
            <v>9.1300000000000008</v>
          </cell>
          <cell r="AC114">
            <v>31.090000000000003</v>
          </cell>
          <cell r="AD114">
            <v>66.41</v>
          </cell>
          <cell r="AE114">
            <v>231.86</v>
          </cell>
          <cell r="AG114" t="str">
            <v xml:space="preserve">   3.  Level III</v>
          </cell>
          <cell r="AH114">
            <v>37.67</v>
          </cell>
          <cell r="AI114">
            <v>133.19</v>
          </cell>
          <cell r="AJ114">
            <v>5</v>
          </cell>
          <cell r="AK114">
            <v>17.91</v>
          </cell>
          <cell r="AL114">
            <v>42.67</v>
          </cell>
          <cell r="AM114">
            <v>151.1</v>
          </cell>
          <cell r="AO114" t="str">
            <v xml:space="preserve">   3.  Level III</v>
          </cell>
          <cell r="AP114">
            <v>0</v>
          </cell>
          <cell r="AQ114">
            <v>0.4</v>
          </cell>
          <cell r="AR114">
            <v>0</v>
          </cell>
          <cell r="AS114">
            <v>0</v>
          </cell>
          <cell r="AT114">
            <v>0</v>
          </cell>
          <cell r="AU114">
            <v>0.4</v>
          </cell>
          <cell r="AW114" t="str">
            <v xml:space="preserve">   3.  Level III</v>
          </cell>
          <cell r="AX114">
            <v>14.78</v>
          </cell>
          <cell r="AY114">
            <v>49.28</v>
          </cell>
          <cell r="AZ114">
            <v>5</v>
          </cell>
          <cell r="BA114">
            <v>16</v>
          </cell>
          <cell r="BB114">
            <v>19.78</v>
          </cell>
          <cell r="BC114">
            <v>65.28</v>
          </cell>
        </row>
        <row r="115">
          <cell r="A115" t="str">
            <v xml:space="preserve">   4.  Level IV</v>
          </cell>
          <cell r="B115">
            <v>0</v>
          </cell>
          <cell r="C115">
            <v>0</v>
          </cell>
          <cell r="D115">
            <v>0</v>
          </cell>
          <cell r="E115">
            <v>0</v>
          </cell>
          <cell r="F115">
            <v>0</v>
          </cell>
          <cell r="G115">
            <v>0</v>
          </cell>
          <cell r="I115" t="str">
            <v xml:space="preserve">   4.  Level IV</v>
          </cell>
          <cell r="J115">
            <v>0</v>
          </cell>
          <cell r="K115">
            <v>0</v>
          </cell>
          <cell r="L115">
            <v>0</v>
          </cell>
          <cell r="M115">
            <v>0</v>
          </cell>
          <cell r="N115">
            <v>0</v>
          </cell>
          <cell r="O115">
            <v>0</v>
          </cell>
          <cell r="Q115" t="str">
            <v xml:space="preserve">   4.  Level IV</v>
          </cell>
          <cell r="R115">
            <v>0</v>
          </cell>
          <cell r="S115">
            <v>0</v>
          </cell>
          <cell r="T115">
            <v>0</v>
          </cell>
          <cell r="U115">
            <v>0</v>
          </cell>
          <cell r="V115">
            <v>0</v>
          </cell>
          <cell r="W115">
            <v>0</v>
          </cell>
          <cell r="Y115" t="str">
            <v xml:space="preserve">   4.  Level IV</v>
          </cell>
          <cell r="Z115">
            <v>0.94</v>
          </cell>
          <cell r="AA115">
            <v>0.97</v>
          </cell>
          <cell r="AB115">
            <v>4.84</v>
          </cell>
          <cell r="AC115">
            <v>13.969999999999999</v>
          </cell>
          <cell r="AD115">
            <v>5.7799999999999994</v>
          </cell>
          <cell r="AE115">
            <v>14.94</v>
          </cell>
          <cell r="AG115" t="str">
            <v xml:space="preserve">   4.  Level IV</v>
          </cell>
          <cell r="AH115">
            <v>0</v>
          </cell>
          <cell r="AI115">
            <v>0</v>
          </cell>
          <cell r="AJ115">
            <v>0</v>
          </cell>
          <cell r="AK115">
            <v>0</v>
          </cell>
          <cell r="AL115">
            <v>0</v>
          </cell>
          <cell r="AM115">
            <v>0</v>
          </cell>
          <cell r="AO115" t="str">
            <v xml:space="preserve">   4.  Level IV</v>
          </cell>
          <cell r="AP115">
            <v>2</v>
          </cell>
          <cell r="AQ115">
            <v>7</v>
          </cell>
          <cell r="AR115">
            <v>0</v>
          </cell>
          <cell r="AS115">
            <v>0</v>
          </cell>
          <cell r="AT115">
            <v>2</v>
          </cell>
          <cell r="AU115">
            <v>7</v>
          </cell>
          <cell r="AW115" t="str">
            <v xml:space="preserve">   4.  Level IV</v>
          </cell>
          <cell r="AX115">
            <v>0</v>
          </cell>
          <cell r="AY115">
            <v>0</v>
          </cell>
          <cell r="AZ115">
            <v>0</v>
          </cell>
          <cell r="BA115">
            <v>0</v>
          </cell>
          <cell r="BB115">
            <v>0</v>
          </cell>
          <cell r="BC115">
            <v>0</v>
          </cell>
        </row>
        <row r="116">
          <cell r="A116" t="str">
            <v xml:space="preserve">   5.</v>
          </cell>
          <cell r="I116" t="str">
            <v xml:space="preserve">   5.</v>
          </cell>
          <cell r="Q116" t="str">
            <v xml:space="preserve">   5.</v>
          </cell>
          <cell r="Y116" t="str">
            <v xml:space="preserve">   5.</v>
          </cell>
          <cell r="AG116" t="str">
            <v xml:space="preserve">   5.</v>
          </cell>
          <cell r="AO116" t="str">
            <v xml:space="preserve">   5.</v>
          </cell>
          <cell r="AW116" t="str">
            <v xml:space="preserve">   5.</v>
          </cell>
        </row>
        <row r="117">
          <cell r="A117" t="str">
            <v xml:space="preserve">   6.</v>
          </cell>
          <cell r="I117" t="str">
            <v xml:space="preserve">   6.</v>
          </cell>
          <cell r="Q117" t="str">
            <v xml:space="preserve">   6.</v>
          </cell>
          <cell r="Y117" t="str">
            <v xml:space="preserve">   6.</v>
          </cell>
          <cell r="AG117" t="str">
            <v xml:space="preserve">   6.</v>
          </cell>
          <cell r="AO117" t="str">
            <v xml:space="preserve">   6.</v>
          </cell>
          <cell r="AW117" t="str">
            <v xml:space="preserve">   6.</v>
          </cell>
        </row>
        <row r="118">
          <cell r="A118" t="str">
            <v xml:space="preserve">   7.  Home and Community Based Services (HCBS) Total</v>
          </cell>
          <cell r="B118">
            <v>57.15</v>
          </cell>
          <cell r="C118">
            <v>193.30999999999997</v>
          </cell>
          <cell r="D118">
            <v>15.84</v>
          </cell>
          <cell r="E118">
            <v>50.61</v>
          </cell>
          <cell r="F118">
            <v>72.989999999999995</v>
          </cell>
          <cell r="G118">
            <v>243.91999999999996</v>
          </cell>
          <cell r="I118" t="str">
            <v xml:space="preserve">   7.  Home and Community Based Services (HCBS) Total</v>
          </cell>
          <cell r="J118">
            <v>98.06</v>
          </cell>
          <cell r="K118">
            <v>338.48</v>
          </cell>
          <cell r="L118">
            <v>29.78</v>
          </cell>
          <cell r="M118">
            <v>88.35</v>
          </cell>
          <cell r="N118">
            <v>127.84</v>
          </cell>
          <cell r="O118">
            <v>426.83000000000004</v>
          </cell>
          <cell r="Q118" t="str">
            <v xml:space="preserve">   7.  Home and Community Based Services (HCBS) Total</v>
          </cell>
          <cell r="R118">
            <v>28</v>
          </cell>
          <cell r="S118">
            <v>95.550000000000011</v>
          </cell>
          <cell r="T118">
            <v>5</v>
          </cell>
          <cell r="U118">
            <v>14.07</v>
          </cell>
          <cell r="V118">
            <v>33</v>
          </cell>
          <cell r="W118">
            <v>109.62</v>
          </cell>
          <cell r="Y118" t="str">
            <v xml:space="preserve">   7.  Home and Community Based Services (HCBS) Total</v>
          </cell>
          <cell r="Z118">
            <v>3260.05</v>
          </cell>
          <cell r="AA118">
            <v>8554.57</v>
          </cell>
          <cell r="AB118">
            <v>464.54999999999995</v>
          </cell>
          <cell r="AC118">
            <v>1510.57</v>
          </cell>
          <cell r="AD118">
            <v>3724.6000000000004</v>
          </cell>
          <cell r="AE118">
            <v>10065.14</v>
          </cell>
          <cell r="AG118" t="str">
            <v xml:space="preserve">   7.  Home and Community Based Services (HCBS) Total</v>
          </cell>
          <cell r="AH118">
            <v>386.23</v>
          </cell>
          <cell r="AI118">
            <v>1325.78</v>
          </cell>
          <cell r="AJ118">
            <v>74.09</v>
          </cell>
          <cell r="AK118">
            <v>251.34</v>
          </cell>
          <cell r="AL118">
            <v>460.32000000000005</v>
          </cell>
          <cell r="AM118">
            <v>1577.12</v>
          </cell>
          <cell r="AO118" t="str">
            <v xml:space="preserve">   7.  Home and Community Based Services (HCBS) Total</v>
          </cell>
          <cell r="AP118">
            <v>143.85</v>
          </cell>
          <cell r="AQ118">
            <v>479.69000000000005</v>
          </cell>
          <cell r="AR118">
            <v>42.06</v>
          </cell>
          <cell r="AS118">
            <v>135.70999999999998</v>
          </cell>
          <cell r="AT118">
            <v>185.91</v>
          </cell>
          <cell r="AU118">
            <v>615.40000000000009</v>
          </cell>
          <cell r="AW118" t="str">
            <v xml:space="preserve">   7.  Home and Community Based Services (HCBS) Total</v>
          </cell>
          <cell r="AX118">
            <v>298.96000000000004</v>
          </cell>
          <cell r="AY118">
            <v>1021.8000000000001</v>
          </cell>
          <cell r="AZ118">
            <v>75.98</v>
          </cell>
          <cell r="BA118">
            <v>258.95</v>
          </cell>
          <cell r="BB118">
            <v>374.94000000000005</v>
          </cell>
          <cell r="BC118">
            <v>1280.75</v>
          </cell>
        </row>
        <row r="119">
          <cell r="A119" t="str">
            <v xml:space="preserve">       a.  Adult Foster Care</v>
          </cell>
          <cell r="B119">
            <v>0</v>
          </cell>
          <cell r="C119">
            <v>0</v>
          </cell>
          <cell r="D119">
            <v>0</v>
          </cell>
          <cell r="E119">
            <v>0</v>
          </cell>
          <cell r="F119">
            <v>0</v>
          </cell>
          <cell r="G119">
            <v>0</v>
          </cell>
          <cell r="I119" t="str">
            <v xml:space="preserve">       a.  Adult Foster Care</v>
          </cell>
          <cell r="J119">
            <v>0</v>
          </cell>
          <cell r="K119">
            <v>0</v>
          </cell>
          <cell r="L119">
            <v>1</v>
          </cell>
          <cell r="M119">
            <v>1.17</v>
          </cell>
          <cell r="N119">
            <v>1</v>
          </cell>
          <cell r="O119">
            <v>1.17</v>
          </cell>
          <cell r="Q119" t="str">
            <v xml:space="preserve">       a.  Adult Foster Care</v>
          </cell>
          <cell r="R119">
            <v>0</v>
          </cell>
          <cell r="S119">
            <v>0</v>
          </cell>
          <cell r="T119">
            <v>0</v>
          </cell>
          <cell r="U119">
            <v>0</v>
          </cell>
          <cell r="V119">
            <v>0</v>
          </cell>
          <cell r="W119">
            <v>0</v>
          </cell>
          <cell r="Y119" t="str">
            <v xml:space="preserve">       a.  Adult Foster Care</v>
          </cell>
          <cell r="Z119">
            <v>45.68</v>
          </cell>
          <cell r="AA119">
            <v>161.51</v>
          </cell>
          <cell r="AB119">
            <v>8</v>
          </cell>
          <cell r="AC119">
            <v>26.04</v>
          </cell>
          <cell r="AD119">
            <v>53.68</v>
          </cell>
          <cell r="AE119">
            <v>187.54999999999998</v>
          </cell>
          <cell r="AG119" t="str">
            <v xml:space="preserve">       a.  Adult Foster Care</v>
          </cell>
          <cell r="AH119">
            <v>4</v>
          </cell>
          <cell r="AI119">
            <v>12.9</v>
          </cell>
          <cell r="AJ119">
            <v>1</v>
          </cell>
          <cell r="AK119">
            <v>5.73</v>
          </cell>
          <cell r="AL119">
            <v>5</v>
          </cell>
          <cell r="AM119">
            <v>18.630000000000003</v>
          </cell>
          <cell r="AO119" t="str">
            <v xml:space="preserve">       a.  Adult Foster Care</v>
          </cell>
          <cell r="AP119">
            <v>0</v>
          </cell>
          <cell r="AQ119">
            <v>0</v>
          </cell>
          <cell r="AR119">
            <v>0</v>
          </cell>
          <cell r="AS119">
            <v>0</v>
          </cell>
          <cell r="AT119">
            <v>0</v>
          </cell>
          <cell r="AU119">
            <v>0</v>
          </cell>
          <cell r="AW119" t="str">
            <v xml:space="preserve">       a.  Adult Foster Care</v>
          </cell>
          <cell r="AX119">
            <v>1</v>
          </cell>
          <cell r="AY119">
            <v>4</v>
          </cell>
          <cell r="AZ119">
            <v>0</v>
          </cell>
          <cell r="BA119">
            <v>0</v>
          </cell>
          <cell r="BB119">
            <v>1</v>
          </cell>
          <cell r="BC119">
            <v>4</v>
          </cell>
        </row>
        <row r="120">
          <cell r="A120" t="str">
            <v xml:space="preserve">       b.  Assisted Living Home (Adult Care Home)</v>
          </cell>
          <cell r="B120">
            <v>12.42</v>
          </cell>
          <cell r="C120">
            <v>44.36</v>
          </cell>
          <cell r="D120">
            <v>0.84</v>
          </cell>
          <cell r="E120">
            <v>1.66</v>
          </cell>
          <cell r="F120">
            <v>13.26</v>
          </cell>
          <cell r="G120">
            <v>46.019999999999996</v>
          </cell>
          <cell r="I120" t="str">
            <v xml:space="preserve">       b.  Assisted Living Home (Adult Care Home)</v>
          </cell>
          <cell r="J120">
            <v>6</v>
          </cell>
          <cell r="K120">
            <v>19.060000000000002</v>
          </cell>
          <cell r="L120">
            <v>2</v>
          </cell>
          <cell r="M120">
            <v>4.7</v>
          </cell>
          <cell r="N120">
            <v>8</v>
          </cell>
          <cell r="O120">
            <v>23.76</v>
          </cell>
          <cell r="Q120" t="str">
            <v xml:space="preserve">       b.  Assisted Living Home (Adult Care Home)</v>
          </cell>
          <cell r="R120">
            <v>0</v>
          </cell>
          <cell r="S120">
            <v>0</v>
          </cell>
          <cell r="T120">
            <v>0</v>
          </cell>
          <cell r="U120">
            <v>0</v>
          </cell>
          <cell r="V120">
            <v>0</v>
          </cell>
          <cell r="W120">
            <v>0</v>
          </cell>
          <cell r="Y120" t="str">
            <v xml:space="preserve">       b.  Assisted Living Home (Adult Care Home)</v>
          </cell>
          <cell r="Z120">
            <v>550.29999999999995</v>
          </cell>
          <cell r="AA120">
            <v>1894.61</v>
          </cell>
          <cell r="AB120">
            <v>39.06</v>
          </cell>
          <cell r="AC120">
            <v>120.88</v>
          </cell>
          <cell r="AD120">
            <v>589.3599999999999</v>
          </cell>
          <cell r="AE120">
            <v>2015.4899999999998</v>
          </cell>
          <cell r="AG120" t="str">
            <v xml:space="preserve">       b.  Assisted Living Home (Adult Care Home)</v>
          </cell>
          <cell r="AH120">
            <v>10.39</v>
          </cell>
          <cell r="AI120">
            <v>30.16</v>
          </cell>
          <cell r="AJ120">
            <v>3</v>
          </cell>
          <cell r="AK120">
            <v>10.3</v>
          </cell>
          <cell r="AL120">
            <v>13.39</v>
          </cell>
          <cell r="AM120">
            <v>40.46</v>
          </cell>
          <cell r="AO120" t="str">
            <v xml:space="preserve">       b.  Assisted Living Home (Adult Care Home)</v>
          </cell>
          <cell r="AP120">
            <v>25.29</v>
          </cell>
          <cell r="AQ120">
            <v>84.77</v>
          </cell>
          <cell r="AR120">
            <v>4</v>
          </cell>
          <cell r="AS120">
            <v>12</v>
          </cell>
          <cell r="AT120">
            <v>29.29</v>
          </cell>
          <cell r="AU120">
            <v>96.77</v>
          </cell>
          <cell r="AW120" t="str">
            <v xml:space="preserve">       b.  Assisted Living Home (Adult Care Home)</v>
          </cell>
          <cell r="AX120">
            <v>31.36</v>
          </cell>
          <cell r="AY120">
            <v>114.64999999999999</v>
          </cell>
          <cell r="AZ120">
            <v>3</v>
          </cell>
          <cell r="BA120">
            <v>10.27</v>
          </cell>
          <cell r="BB120">
            <v>34.36</v>
          </cell>
          <cell r="BC120">
            <v>124.91999999999999</v>
          </cell>
        </row>
        <row r="121">
          <cell r="A121" t="str">
            <v xml:space="preserve">       c.  Group Home (DD)</v>
          </cell>
          <cell r="B121">
            <v>0</v>
          </cell>
          <cell r="C121">
            <v>0</v>
          </cell>
          <cell r="D121">
            <v>0</v>
          </cell>
          <cell r="E121">
            <v>0</v>
          </cell>
          <cell r="F121">
            <v>0</v>
          </cell>
          <cell r="G121">
            <v>0</v>
          </cell>
          <cell r="I121" t="str">
            <v xml:space="preserve">       c.  Group Home (DD)</v>
          </cell>
          <cell r="J121">
            <v>0</v>
          </cell>
          <cell r="K121">
            <v>0</v>
          </cell>
          <cell r="L121">
            <v>0</v>
          </cell>
          <cell r="M121">
            <v>0</v>
          </cell>
          <cell r="N121">
            <v>0</v>
          </cell>
          <cell r="O121">
            <v>0</v>
          </cell>
          <cell r="Q121" t="str">
            <v xml:space="preserve">       c.  Group Home (DD)</v>
          </cell>
          <cell r="R121">
            <v>0</v>
          </cell>
          <cell r="S121">
            <v>0</v>
          </cell>
          <cell r="T121">
            <v>0</v>
          </cell>
          <cell r="U121">
            <v>0</v>
          </cell>
          <cell r="V121">
            <v>0</v>
          </cell>
          <cell r="W121">
            <v>0</v>
          </cell>
          <cell r="Y121" t="str">
            <v xml:space="preserve">       c.  Group Home (DD)</v>
          </cell>
          <cell r="Z121">
            <v>1</v>
          </cell>
          <cell r="AA121">
            <v>4.0299999999999994</v>
          </cell>
          <cell r="AB121">
            <v>0</v>
          </cell>
          <cell r="AC121">
            <v>0</v>
          </cell>
          <cell r="AD121">
            <v>1</v>
          </cell>
          <cell r="AE121">
            <v>4.0299999999999994</v>
          </cell>
          <cell r="AG121" t="str">
            <v xml:space="preserve">       c.  Group Home (DD)</v>
          </cell>
          <cell r="AH121">
            <v>0</v>
          </cell>
          <cell r="AI121">
            <v>0</v>
          </cell>
          <cell r="AJ121">
            <v>0</v>
          </cell>
          <cell r="AK121">
            <v>0</v>
          </cell>
          <cell r="AL121">
            <v>0</v>
          </cell>
          <cell r="AM121">
            <v>0</v>
          </cell>
          <cell r="AO121" t="str">
            <v xml:space="preserve">       c.  Group Home (DD)</v>
          </cell>
          <cell r="AP121">
            <v>0</v>
          </cell>
          <cell r="AQ121">
            <v>0</v>
          </cell>
          <cell r="AR121">
            <v>0</v>
          </cell>
          <cell r="AS121">
            <v>0</v>
          </cell>
          <cell r="AT121">
            <v>0</v>
          </cell>
          <cell r="AU121">
            <v>0</v>
          </cell>
          <cell r="AW121" t="str">
            <v xml:space="preserve">       c.  Group Home (DD)</v>
          </cell>
          <cell r="AX121">
            <v>0</v>
          </cell>
          <cell r="AY121">
            <v>0</v>
          </cell>
          <cell r="AZ121">
            <v>0</v>
          </cell>
          <cell r="BA121">
            <v>0</v>
          </cell>
          <cell r="BB121">
            <v>0</v>
          </cell>
          <cell r="BC121">
            <v>0</v>
          </cell>
        </row>
        <row r="122">
          <cell r="A122" t="str">
            <v xml:space="preserve">       d.  Individual Home</v>
          </cell>
          <cell r="B122">
            <v>26.9</v>
          </cell>
          <cell r="C122">
            <v>79.72999999999999</v>
          </cell>
          <cell r="D122">
            <v>11</v>
          </cell>
          <cell r="E122">
            <v>36.950000000000003</v>
          </cell>
          <cell r="F122">
            <v>37.9</v>
          </cell>
          <cell r="G122">
            <v>116.67999999999999</v>
          </cell>
          <cell r="I122" t="str">
            <v xml:space="preserve">       d.  Individual Home</v>
          </cell>
          <cell r="J122">
            <v>30.83</v>
          </cell>
          <cell r="K122">
            <v>104.99</v>
          </cell>
          <cell r="L122">
            <v>14.16</v>
          </cell>
          <cell r="M122">
            <v>45.69</v>
          </cell>
          <cell r="N122">
            <v>44.989999999999995</v>
          </cell>
          <cell r="O122">
            <v>150.68</v>
          </cell>
          <cell r="Q122" t="str">
            <v xml:space="preserve">       d.  Individual Home</v>
          </cell>
          <cell r="R122">
            <v>21.61</v>
          </cell>
          <cell r="S122">
            <v>69.900000000000006</v>
          </cell>
          <cell r="T122">
            <v>1</v>
          </cell>
          <cell r="U122">
            <v>3</v>
          </cell>
          <cell r="V122">
            <v>22.61</v>
          </cell>
          <cell r="W122">
            <v>72.900000000000006</v>
          </cell>
          <cell r="Y122" t="str">
            <v xml:space="preserve">       d.  Individual Home</v>
          </cell>
          <cell r="Z122">
            <v>1297.1200000000003</v>
          </cell>
          <cell r="AA122">
            <v>1965.87</v>
          </cell>
          <cell r="AB122">
            <v>220.58</v>
          </cell>
          <cell r="AC122">
            <v>726.05</v>
          </cell>
          <cell r="AD122">
            <v>1517.7000000000003</v>
          </cell>
          <cell r="AE122">
            <v>2691.92</v>
          </cell>
          <cell r="AG122" t="str">
            <v xml:space="preserve">       d.  Individual Home</v>
          </cell>
          <cell r="AH122">
            <v>155.16</v>
          </cell>
          <cell r="AI122">
            <v>534.37</v>
          </cell>
          <cell r="AJ122">
            <v>38.39</v>
          </cell>
          <cell r="AK122">
            <v>126.09</v>
          </cell>
          <cell r="AL122">
            <v>193.55</v>
          </cell>
          <cell r="AM122">
            <v>660.46</v>
          </cell>
          <cell r="AO122" t="str">
            <v xml:space="preserve">       d.  Individual Home</v>
          </cell>
          <cell r="AP122">
            <v>59.77</v>
          </cell>
          <cell r="AQ122">
            <v>196.08</v>
          </cell>
          <cell r="AR122">
            <v>24.32</v>
          </cell>
          <cell r="AS122">
            <v>78.42</v>
          </cell>
          <cell r="AT122">
            <v>84.09</v>
          </cell>
          <cell r="AU122">
            <v>274.5</v>
          </cell>
          <cell r="AW122" t="str">
            <v xml:space="preserve">       d.  Individual Home</v>
          </cell>
          <cell r="AX122">
            <v>100.87</v>
          </cell>
          <cell r="AY122">
            <v>336.13</v>
          </cell>
          <cell r="AZ122">
            <v>39.36</v>
          </cell>
          <cell r="BA122">
            <v>124.83999999999999</v>
          </cell>
          <cell r="BB122">
            <v>140.23000000000002</v>
          </cell>
          <cell r="BC122">
            <v>460.96999999999997</v>
          </cell>
        </row>
        <row r="123">
          <cell r="A123" t="str">
            <v xml:space="preserve">       e.  Assisted Living Centers (SRL)</v>
          </cell>
          <cell r="B123">
            <v>1.32</v>
          </cell>
          <cell r="C123">
            <v>3.3200000000000003</v>
          </cell>
          <cell r="D123">
            <v>1</v>
          </cell>
          <cell r="E123">
            <v>3</v>
          </cell>
          <cell r="F123">
            <v>2.3200000000000003</v>
          </cell>
          <cell r="G123">
            <v>6.32</v>
          </cell>
          <cell r="I123" t="str">
            <v xml:space="preserve">       e.  Assisted Living Centers (SRL)</v>
          </cell>
          <cell r="J123">
            <v>39.909999999999997</v>
          </cell>
          <cell r="K123">
            <v>144.38999999999999</v>
          </cell>
          <cell r="L123">
            <v>3</v>
          </cell>
          <cell r="M123">
            <v>8.17</v>
          </cell>
          <cell r="N123">
            <v>42.91</v>
          </cell>
          <cell r="O123">
            <v>152.55999999999997</v>
          </cell>
          <cell r="Q123" t="str">
            <v xml:space="preserve">       e.  Assisted Living Centers (SRL)</v>
          </cell>
          <cell r="R123">
            <v>2</v>
          </cell>
          <cell r="S123">
            <v>8.65</v>
          </cell>
          <cell r="T123">
            <v>0</v>
          </cell>
          <cell r="U123">
            <v>0</v>
          </cell>
          <cell r="V123">
            <v>2</v>
          </cell>
          <cell r="W123">
            <v>8.65</v>
          </cell>
          <cell r="Y123" t="str">
            <v xml:space="preserve">       e.  Assisted Living Centers (SRL)</v>
          </cell>
          <cell r="Z123">
            <v>627.57000000000005</v>
          </cell>
          <cell r="AA123">
            <v>2157.25</v>
          </cell>
          <cell r="AB123">
            <v>42.02</v>
          </cell>
          <cell r="AC123">
            <v>134.42000000000002</v>
          </cell>
          <cell r="AD123">
            <v>669.59</v>
          </cell>
          <cell r="AE123">
            <v>2291.67</v>
          </cell>
          <cell r="AG123" t="str">
            <v xml:space="preserve">       e.  Assisted Living Centers (SRL)</v>
          </cell>
          <cell r="AH123">
            <v>107.74</v>
          </cell>
          <cell r="AI123">
            <v>365.73</v>
          </cell>
          <cell r="AJ123">
            <v>15</v>
          </cell>
          <cell r="AK123">
            <v>51.73</v>
          </cell>
          <cell r="AL123">
            <v>122.74</v>
          </cell>
          <cell r="AM123">
            <v>417.46000000000004</v>
          </cell>
          <cell r="AO123" t="str">
            <v xml:space="preserve">       e.  Assisted Living Centers (SRL)</v>
          </cell>
          <cell r="AP123">
            <v>18.239999999999998</v>
          </cell>
          <cell r="AQ123">
            <v>57.95</v>
          </cell>
          <cell r="AR123">
            <v>3</v>
          </cell>
          <cell r="AS123">
            <v>9.8000000000000007</v>
          </cell>
          <cell r="AT123">
            <v>21.24</v>
          </cell>
          <cell r="AU123">
            <v>67.75</v>
          </cell>
          <cell r="AW123" t="str">
            <v xml:space="preserve">       e.  Assisted Living Centers (SRL)</v>
          </cell>
          <cell r="AX123">
            <v>39.53</v>
          </cell>
          <cell r="AY123">
            <v>144.34</v>
          </cell>
          <cell r="AZ123">
            <v>5</v>
          </cell>
          <cell r="BA123">
            <v>16.86</v>
          </cell>
          <cell r="BB123">
            <v>44.53</v>
          </cell>
          <cell r="BC123">
            <v>161.19999999999999</v>
          </cell>
        </row>
        <row r="124">
          <cell r="A124" t="str">
            <v xml:space="preserve">       f.  Other (Hospice)</v>
          </cell>
          <cell r="B124">
            <v>4</v>
          </cell>
          <cell r="C124">
            <v>17.420000000000002</v>
          </cell>
          <cell r="D124">
            <v>0</v>
          </cell>
          <cell r="E124">
            <v>0</v>
          </cell>
          <cell r="F124">
            <v>4</v>
          </cell>
          <cell r="G124">
            <v>17.420000000000002</v>
          </cell>
          <cell r="I124" t="str">
            <v xml:space="preserve">       f.  Other (Hospice)</v>
          </cell>
          <cell r="J124">
            <v>0.9</v>
          </cell>
          <cell r="K124">
            <v>1.9100000000000001</v>
          </cell>
          <cell r="L124">
            <v>0</v>
          </cell>
          <cell r="M124">
            <v>0</v>
          </cell>
          <cell r="N124">
            <v>0.9</v>
          </cell>
          <cell r="O124">
            <v>1.9100000000000001</v>
          </cell>
          <cell r="Q124" t="str">
            <v xml:space="preserve">       f.  Other (Hospice)</v>
          </cell>
          <cell r="R124">
            <v>0</v>
          </cell>
          <cell r="S124">
            <v>0</v>
          </cell>
          <cell r="T124">
            <v>1</v>
          </cell>
          <cell r="U124">
            <v>3</v>
          </cell>
          <cell r="V124">
            <v>1</v>
          </cell>
          <cell r="W124">
            <v>3</v>
          </cell>
          <cell r="Y124" t="str">
            <v xml:space="preserve">       f.  Other (Hospice)</v>
          </cell>
          <cell r="Z124">
            <v>83.99</v>
          </cell>
          <cell r="AA124">
            <v>287.98</v>
          </cell>
          <cell r="AB124">
            <v>2.74</v>
          </cell>
          <cell r="AC124">
            <v>6.83</v>
          </cell>
          <cell r="AD124">
            <v>86.72999999999999</v>
          </cell>
          <cell r="AE124">
            <v>294.81</v>
          </cell>
          <cell r="AG124" t="str">
            <v xml:space="preserve">       f.  Other (Hospice)</v>
          </cell>
          <cell r="AH124">
            <v>1.06</v>
          </cell>
          <cell r="AI124">
            <v>4.0600000000000005</v>
          </cell>
          <cell r="AJ124">
            <v>0</v>
          </cell>
          <cell r="AK124">
            <v>0</v>
          </cell>
          <cell r="AL124">
            <v>1.06</v>
          </cell>
          <cell r="AM124">
            <v>4.0600000000000005</v>
          </cell>
          <cell r="AO124" t="str">
            <v xml:space="preserve">       f.  Other (Hospice)</v>
          </cell>
          <cell r="AP124">
            <v>5.03</v>
          </cell>
          <cell r="AQ124">
            <v>16.420000000000002</v>
          </cell>
          <cell r="AR124">
            <v>1.74</v>
          </cell>
          <cell r="AS124">
            <v>6.49</v>
          </cell>
          <cell r="AT124">
            <v>6.7700000000000005</v>
          </cell>
          <cell r="AU124">
            <v>22.910000000000004</v>
          </cell>
          <cell r="AW124" t="str">
            <v xml:space="preserve">       f.  Other (Hospice)</v>
          </cell>
          <cell r="AX124">
            <v>7.42</v>
          </cell>
          <cell r="AY124">
            <v>25.36</v>
          </cell>
          <cell r="AZ124">
            <v>0</v>
          </cell>
          <cell r="BA124">
            <v>1.9</v>
          </cell>
          <cell r="BB124">
            <v>7.42</v>
          </cell>
          <cell r="BC124">
            <v>27.259999999999998</v>
          </cell>
        </row>
        <row r="125">
          <cell r="A125" t="str">
            <v xml:space="preserve">       g.  Attendant Care</v>
          </cell>
          <cell r="B125">
            <v>12.51</v>
          </cell>
          <cell r="C125">
            <v>48.48</v>
          </cell>
          <cell r="D125">
            <v>3</v>
          </cell>
          <cell r="E125">
            <v>9</v>
          </cell>
          <cell r="F125">
            <v>15.51</v>
          </cell>
          <cell r="G125">
            <v>57.48</v>
          </cell>
          <cell r="I125" t="str">
            <v xml:space="preserve">       g.  Attendant Care</v>
          </cell>
          <cell r="J125">
            <v>20.420000000000002</v>
          </cell>
          <cell r="K125">
            <v>68.13</v>
          </cell>
          <cell r="L125">
            <v>9.6199999999999992</v>
          </cell>
          <cell r="M125">
            <v>28.619999999999997</v>
          </cell>
          <cell r="N125">
            <v>30.04</v>
          </cell>
          <cell r="O125">
            <v>96.75</v>
          </cell>
          <cell r="Q125" t="str">
            <v xml:space="preserve">       g.  Attendant Care</v>
          </cell>
          <cell r="R125">
            <v>4.3899999999999997</v>
          </cell>
          <cell r="S125">
            <v>17</v>
          </cell>
          <cell r="T125">
            <v>3</v>
          </cell>
          <cell r="U125">
            <v>8.07</v>
          </cell>
          <cell r="V125">
            <v>7.39</v>
          </cell>
          <cell r="W125">
            <v>25.07</v>
          </cell>
          <cell r="Y125" t="str">
            <v xml:space="preserve">       g.  Attendant Care</v>
          </cell>
          <cell r="Z125">
            <v>654.39</v>
          </cell>
          <cell r="AA125">
            <v>2083.3200000000002</v>
          </cell>
          <cell r="AB125">
            <v>152.15</v>
          </cell>
          <cell r="AC125">
            <v>496.35</v>
          </cell>
          <cell r="AD125">
            <v>806.54</v>
          </cell>
          <cell r="AE125">
            <v>2579.67</v>
          </cell>
          <cell r="AG125" t="str">
            <v xml:space="preserve">       g.  Attendant Care</v>
          </cell>
          <cell r="AH125">
            <v>107.88</v>
          </cell>
          <cell r="AI125">
            <v>378.56</v>
          </cell>
          <cell r="AJ125">
            <v>16.7</v>
          </cell>
          <cell r="AK125">
            <v>57.490000000000009</v>
          </cell>
          <cell r="AL125">
            <v>124.58</v>
          </cell>
          <cell r="AM125">
            <v>436.05</v>
          </cell>
          <cell r="AO125" t="str">
            <v xml:space="preserve">       g.  Attendant Care</v>
          </cell>
          <cell r="AP125">
            <v>35.520000000000003</v>
          </cell>
          <cell r="AQ125">
            <v>124.47</v>
          </cell>
          <cell r="AR125">
            <v>9</v>
          </cell>
          <cell r="AS125">
            <v>29</v>
          </cell>
          <cell r="AT125">
            <v>44.52</v>
          </cell>
          <cell r="AU125">
            <v>153.47</v>
          </cell>
          <cell r="AW125" t="str">
            <v xml:space="preserve">       g.  Attendant Care</v>
          </cell>
          <cell r="AX125">
            <v>118.78</v>
          </cell>
          <cell r="AY125">
            <v>397.32000000000005</v>
          </cell>
          <cell r="AZ125">
            <v>28.62</v>
          </cell>
          <cell r="BA125">
            <v>105.08000000000001</v>
          </cell>
          <cell r="BB125">
            <v>147.4</v>
          </cell>
          <cell r="BC125">
            <v>502.40000000000009</v>
          </cell>
        </row>
        <row r="126">
          <cell r="A126" t="str">
            <v xml:space="preserve">   8.  Acute Care</v>
          </cell>
          <cell r="B126">
            <v>1</v>
          </cell>
          <cell r="C126">
            <v>3.2</v>
          </cell>
          <cell r="D126">
            <v>0</v>
          </cell>
          <cell r="E126">
            <v>0</v>
          </cell>
          <cell r="F126">
            <v>1</v>
          </cell>
          <cell r="G126">
            <v>3.2</v>
          </cell>
          <cell r="I126" t="str">
            <v xml:space="preserve">   8.  Acute Care</v>
          </cell>
          <cell r="J126">
            <v>3</v>
          </cell>
          <cell r="K126">
            <v>11</v>
          </cell>
          <cell r="L126">
            <v>2</v>
          </cell>
          <cell r="M126">
            <v>6.0299999999999994</v>
          </cell>
          <cell r="N126">
            <v>5</v>
          </cell>
          <cell r="O126">
            <v>17.03</v>
          </cell>
          <cell r="Q126" t="str">
            <v xml:space="preserve">   8.  Acute Care</v>
          </cell>
          <cell r="R126">
            <v>2</v>
          </cell>
          <cell r="S126">
            <v>7.5299999999999994</v>
          </cell>
          <cell r="T126">
            <v>0</v>
          </cell>
          <cell r="U126">
            <v>0</v>
          </cell>
          <cell r="V126">
            <v>2</v>
          </cell>
          <cell r="W126">
            <v>7.5299999999999994</v>
          </cell>
          <cell r="Y126" t="str">
            <v xml:space="preserve">   8.  Acute Care</v>
          </cell>
          <cell r="Z126">
            <v>32.24</v>
          </cell>
          <cell r="AA126">
            <v>114.88</v>
          </cell>
          <cell r="AB126">
            <v>25.15</v>
          </cell>
          <cell r="AC126">
            <v>85.009999999999991</v>
          </cell>
          <cell r="AD126">
            <v>57.39</v>
          </cell>
          <cell r="AE126">
            <v>199.89</v>
          </cell>
          <cell r="AG126" t="str">
            <v xml:space="preserve">   8.  Acute Care</v>
          </cell>
          <cell r="AH126">
            <v>2</v>
          </cell>
          <cell r="AI126">
            <v>6.9</v>
          </cell>
          <cell r="AJ126">
            <v>0</v>
          </cell>
          <cell r="AK126">
            <v>0</v>
          </cell>
          <cell r="AL126">
            <v>2</v>
          </cell>
          <cell r="AM126">
            <v>6.9</v>
          </cell>
          <cell r="AO126" t="str">
            <v xml:space="preserve">   8.  Acute Care</v>
          </cell>
          <cell r="AP126">
            <v>1</v>
          </cell>
          <cell r="AQ126">
            <v>4.57</v>
          </cell>
          <cell r="AR126">
            <v>0</v>
          </cell>
          <cell r="AS126">
            <v>0</v>
          </cell>
          <cell r="AT126">
            <v>1</v>
          </cell>
          <cell r="AU126">
            <v>4.57</v>
          </cell>
          <cell r="AW126" t="str">
            <v xml:space="preserve">   8.  Acute Care</v>
          </cell>
          <cell r="AX126">
            <v>2</v>
          </cell>
          <cell r="AY126">
            <v>5</v>
          </cell>
          <cell r="AZ126">
            <v>1</v>
          </cell>
          <cell r="BA126">
            <v>5</v>
          </cell>
          <cell r="BB126">
            <v>3</v>
          </cell>
          <cell r="BC126">
            <v>10</v>
          </cell>
        </row>
        <row r="127">
          <cell r="A127" t="str">
            <v xml:space="preserve">   9.  Ventilator</v>
          </cell>
          <cell r="B127">
            <v>0</v>
          </cell>
          <cell r="C127">
            <v>0</v>
          </cell>
          <cell r="D127">
            <v>0</v>
          </cell>
          <cell r="E127">
            <v>0</v>
          </cell>
          <cell r="F127">
            <v>0</v>
          </cell>
          <cell r="G127">
            <v>0</v>
          </cell>
          <cell r="I127" t="str">
            <v xml:space="preserve">   9.  Ventilator</v>
          </cell>
          <cell r="J127">
            <v>0</v>
          </cell>
          <cell r="K127">
            <v>0</v>
          </cell>
          <cell r="L127">
            <v>1</v>
          </cell>
          <cell r="M127">
            <v>3</v>
          </cell>
          <cell r="N127">
            <v>1</v>
          </cell>
          <cell r="O127">
            <v>3</v>
          </cell>
          <cell r="Q127" t="str">
            <v xml:space="preserve">   9.  Ventilator</v>
          </cell>
          <cell r="R127">
            <v>0</v>
          </cell>
          <cell r="S127">
            <v>0</v>
          </cell>
          <cell r="T127">
            <v>0</v>
          </cell>
          <cell r="U127">
            <v>0</v>
          </cell>
          <cell r="V127">
            <v>0</v>
          </cell>
          <cell r="W127">
            <v>0</v>
          </cell>
          <cell r="Y127" t="str">
            <v xml:space="preserve">   9.  Ventilator</v>
          </cell>
          <cell r="Z127">
            <v>19.190000000000001</v>
          </cell>
          <cell r="AA127">
            <v>64.25</v>
          </cell>
          <cell r="AB127">
            <v>16</v>
          </cell>
          <cell r="AC127">
            <v>56.510000000000005</v>
          </cell>
          <cell r="AD127">
            <v>35.19</v>
          </cell>
          <cell r="AE127">
            <v>120.76</v>
          </cell>
          <cell r="AG127" t="str">
            <v xml:space="preserve">   9.  Ventilator</v>
          </cell>
          <cell r="AH127">
            <v>1</v>
          </cell>
          <cell r="AI127">
            <v>4</v>
          </cell>
          <cell r="AJ127">
            <v>0</v>
          </cell>
          <cell r="AK127">
            <v>0</v>
          </cell>
          <cell r="AL127">
            <v>1</v>
          </cell>
          <cell r="AM127">
            <v>4</v>
          </cell>
          <cell r="AO127" t="str">
            <v xml:space="preserve">   9.  Ventilator</v>
          </cell>
          <cell r="AP127">
            <v>1</v>
          </cell>
          <cell r="AQ127">
            <v>4</v>
          </cell>
          <cell r="AR127">
            <v>1</v>
          </cell>
          <cell r="AS127">
            <v>3</v>
          </cell>
          <cell r="AT127">
            <v>2</v>
          </cell>
          <cell r="AU127">
            <v>7</v>
          </cell>
          <cell r="AW127" t="str">
            <v xml:space="preserve">   9.  Ventilator</v>
          </cell>
          <cell r="AX127">
            <v>0</v>
          </cell>
          <cell r="AY127">
            <v>0</v>
          </cell>
          <cell r="AZ127">
            <v>1</v>
          </cell>
          <cell r="BA127">
            <v>3</v>
          </cell>
          <cell r="BB127">
            <v>1</v>
          </cell>
          <cell r="BC127">
            <v>3</v>
          </cell>
        </row>
        <row r="128">
          <cell r="A128" t="str">
            <v xml:space="preserve">  10.  Prior Period</v>
          </cell>
          <cell r="B128">
            <v>0</v>
          </cell>
          <cell r="C128">
            <v>1.9666999999999999</v>
          </cell>
          <cell r="D128">
            <v>0</v>
          </cell>
          <cell r="E128">
            <v>0</v>
          </cell>
          <cell r="F128">
            <v>0</v>
          </cell>
          <cell r="G128">
            <v>1.9666999999999999</v>
          </cell>
          <cell r="I128" t="str">
            <v xml:space="preserve">  10.  Prior Period</v>
          </cell>
          <cell r="J128">
            <v>9.2581000000000007</v>
          </cell>
          <cell r="K128">
            <v>16.677399999999999</v>
          </cell>
          <cell r="L128">
            <v>1.9333</v>
          </cell>
          <cell r="M128">
            <v>4.9333</v>
          </cell>
          <cell r="N128">
            <v>11.191400000000002</v>
          </cell>
          <cell r="O128">
            <v>21.610699999999998</v>
          </cell>
          <cell r="Q128" t="str">
            <v xml:space="preserve">  10.  Prior Period</v>
          </cell>
          <cell r="R128">
            <v>4.4839000000000002</v>
          </cell>
          <cell r="S128">
            <v>19.161200000000001</v>
          </cell>
          <cell r="T128">
            <v>0</v>
          </cell>
          <cell r="U128">
            <v>0</v>
          </cell>
          <cell r="V128">
            <v>4.4839000000000002</v>
          </cell>
          <cell r="W128">
            <v>19.161200000000001</v>
          </cell>
          <cell r="Y128" t="str">
            <v xml:space="preserve">  10.  Prior Period</v>
          </cell>
          <cell r="Z128">
            <v>163.82270000000003</v>
          </cell>
          <cell r="AA128">
            <v>506.45180000000005</v>
          </cell>
          <cell r="AB128">
            <v>14.320399999999999</v>
          </cell>
          <cell r="AC128">
            <v>36.459099999999999</v>
          </cell>
          <cell r="AD128">
            <v>178.14310000000003</v>
          </cell>
          <cell r="AE128">
            <v>542.91090000000008</v>
          </cell>
          <cell r="AG128" t="str">
            <v xml:space="preserve">  10.  Prior Period</v>
          </cell>
          <cell r="AH128">
            <v>29.0947</v>
          </cell>
          <cell r="AI128">
            <v>80.073099999999997</v>
          </cell>
          <cell r="AJ128">
            <v>0</v>
          </cell>
          <cell r="AK128">
            <v>9.0333000000000006</v>
          </cell>
          <cell r="AL128">
            <v>29.0947</v>
          </cell>
          <cell r="AM128">
            <v>89.106399999999994</v>
          </cell>
          <cell r="AO128" t="str">
            <v xml:space="preserve">  10.  Prior Period</v>
          </cell>
          <cell r="AP128">
            <v>5.6452</v>
          </cell>
          <cell r="AQ128">
            <v>21.099999999999998</v>
          </cell>
          <cell r="AR128">
            <v>0</v>
          </cell>
          <cell r="AS128">
            <v>3.2300000000000002E-2</v>
          </cell>
          <cell r="AT128">
            <v>5.6452</v>
          </cell>
          <cell r="AU128">
            <v>21.132299999999997</v>
          </cell>
          <cell r="AW128" t="str">
            <v xml:space="preserve">  10.  Prior Period</v>
          </cell>
          <cell r="AX128">
            <v>15.4817</v>
          </cell>
          <cell r="AY128">
            <v>39.611800000000002</v>
          </cell>
          <cell r="AZ128">
            <v>0</v>
          </cell>
          <cell r="BA128">
            <v>0</v>
          </cell>
          <cell r="BB128">
            <v>15.4817</v>
          </cell>
          <cell r="BC128">
            <v>39.611800000000002</v>
          </cell>
        </row>
        <row r="129">
          <cell r="A129" t="str">
            <v xml:space="preserve">  11.  Other - Not Placed</v>
          </cell>
          <cell r="B129">
            <v>-6.9</v>
          </cell>
          <cell r="C129">
            <v>-23.29</v>
          </cell>
          <cell r="D129">
            <v>-2</v>
          </cell>
          <cell r="E129">
            <v>-7</v>
          </cell>
          <cell r="F129">
            <v>-8.9</v>
          </cell>
          <cell r="G129">
            <v>-30.29</v>
          </cell>
          <cell r="I129" t="str">
            <v xml:space="preserve">  11.  Other - Not Placed</v>
          </cell>
          <cell r="J129">
            <v>-13.16</v>
          </cell>
          <cell r="K129">
            <v>-42.91</v>
          </cell>
          <cell r="L129">
            <v>-1.84</v>
          </cell>
          <cell r="M129">
            <v>-4.43</v>
          </cell>
          <cell r="N129">
            <v>-15</v>
          </cell>
          <cell r="O129">
            <v>-47.339999999999996</v>
          </cell>
          <cell r="Q129" t="str">
            <v xml:space="preserve">  11.  Other - Not Placed</v>
          </cell>
          <cell r="R129">
            <v>-6</v>
          </cell>
          <cell r="S129">
            <v>-22.83</v>
          </cell>
          <cell r="T129">
            <v>0</v>
          </cell>
          <cell r="U129">
            <v>0</v>
          </cell>
          <cell r="V129">
            <v>-6</v>
          </cell>
          <cell r="W129">
            <v>-22.83</v>
          </cell>
          <cell r="Y129" t="str">
            <v xml:space="preserve">  11.  Other - Not Placed</v>
          </cell>
          <cell r="Z129">
            <v>-365.54</v>
          </cell>
          <cell r="AA129">
            <v>-1251.3499999999979</v>
          </cell>
          <cell r="AB129">
            <v>-58.44</v>
          </cell>
          <cell r="AC129">
            <v>-184.51999999999998</v>
          </cell>
          <cell r="AD129">
            <v>-423.98</v>
          </cell>
          <cell r="AE129">
            <v>-1435.8699999999978</v>
          </cell>
          <cell r="AG129" t="str">
            <v xml:space="preserve">  11.  Other - Not Placed</v>
          </cell>
          <cell r="AH129">
            <v>-86.52</v>
          </cell>
          <cell r="AI129">
            <v>-294.55</v>
          </cell>
          <cell r="AJ129">
            <v>-2.92</v>
          </cell>
          <cell r="AK129">
            <v>-14.290000000000001</v>
          </cell>
          <cell r="AL129">
            <v>-89.44</v>
          </cell>
          <cell r="AM129">
            <v>-308.84000000000003</v>
          </cell>
          <cell r="AO129" t="str">
            <v xml:space="preserve">  11.  Other - Not Placed</v>
          </cell>
          <cell r="AP129">
            <v>-8.65</v>
          </cell>
          <cell r="AQ129">
            <v>-31.769999999999996</v>
          </cell>
          <cell r="AR129">
            <v>-5.74</v>
          </cell>
          <cell r="AS129">
            <v>-18.259999999999998</v>
          </cell>
          <cell r="AT129">
            <v>-14.39</v>
          </cell>
          <cell r="AU129">
            <v>-50.029999999999994</v>
          </cell>
          <cell r="AW129" t="str">
            <v xml:space="preserve">  11.  Other - Not Placed</v>
          </cell>
          <cell r="AX129">
            <v>-79.59</v>
          </cell>
          <cell r="AY129">
            <v>-270.71000000000004</v>
          </cell>
          <cell r="AZ129">
            <v>-13.36</v>
          </cell>
          <cell r="BA129">
            <v>-48.54</v>
          </cell>
          <cell r="BB129">
            <v>-92.95</v>
          </cell>
          <cell r="BC129">
            <v>-319.25000000000006</v>
          </cell>
        </row>
        <row r="131">
          <cell r="A131" t="str">
            <v>C.   Acute Patient Day Information</v>
          </cell>
          <cell r="I131" t="str">
            <v>C.   Acute Patient Day Information</v>
          </cell>
          <cell r="Q131" t="str">
            <v>C.   Acute Patient Day Information</v>
          </cell>
          <cell r="Y131" t="str">
            <v>C.   Acute Patient Day Information</v>
          </cell>
          <cell r="AG131" t="str">
            <v>C.   Acute Patient Day Information</v>
          </cell>
          <cell r="AO131" t="str">
            <v>C.   Acute Patient Day Information</v>
          </cell>
          <cell r="AW131" t="str">
            <v>C.   Acute Patient Day Information</v>
          </cell>
        </row>
        <row r="132">
          <cell r="A132" t="str">
            <v xml:space="preserve">       a.  Admissions</v>
          </cell>
          <cell r="B132">
            <v>3</v>
          </cell>
          <cell r="C132">
            <v>16</v>
          </cell>
          <cell r="D132">
            <v>1</v>
          </cell>
          <cell r="E132">
            <v>2</v>
          </cell>
          <cell r="F132">
            <v>4</v>
          </cell>
          <cell r="G132">
            <v>18</v>
          </cell>
          <cell r="I132" t="str">
            <v xml:space="preserve">       a.  Admissions</v>
          </cell>
          <cell r="J132">
            <v>11</v>
          </cell>
          <cell r="K132">
            <v>28</v>
          </cell>
          <cell r="L132">
            <v>2</v>
          </cell>
          <cell r="M132">
            <v>10</v>
          </cell>
          <cell r="N132">
            <v>13</v>
          </cell>
          <cell r="O132">
            <v>38</v>
          </cell>
          <cell r="Q132" t="str">
            <v xml:space="preserve">       a.  Admissions</v>
          </cell>
          <cell r="R132">
            <v>10</v>
          </cell>
          <cell r="S132">
            <v>17</v>
          </cell>
          <cell r="T132">
            <v>2</v>
          </cell>
          <cell r="U132">
            <v>2</v>
          </cell>
          <cell r="V132">
            <v>12</v>
          </cell>
          <cell r="W132">
            <v>19</v>
          </cell>
          <cell r="Y132" t="str">
            <v xml:space="preserve">       a.  Admissions</v>
          </cell>
          <cell r="Z132">
            <v>303</v>
          </cell>
          <cell r="AA132">
            <v>789</v>
          </cell>
          <cell r="AB132">
            <v>43</v>
          </cell>
          <cell r="AC132">
            <v>142</v>
          </cell>
          <cell r="AD132">
            <v>346</v>
          </cell>
          <cell r="AE132">
            <v>931</v>
          </cell>
          <cell r="AG132" t="str">
            <v xml:space="preserve">       a.  Admissions</v>
          </cell>
          <cell r="AH132">
            <v>46</v>
          </cell>
          <cell r="AI132">
            <v>125</v>
          </cell>
          <cell r="AJ132">
            <v>8</v>
          </cell>
          <cell r="AK132">
            <v>34</v>
          </cell>
          <cell r="AL132">
            <v>54</v>
          </cell>
          <cell r="AM132">
            <v>159</v>
          </cell>
          <cell r="AO132" t="str">
            <v xml:space="preserve">       a.  Admissions</v>
          </cell>
          <cell r="AP132">
            <v>12</v>
          </cell>
          <cell r="AQ132">
            <v>34</v>
          </cell>
          <cell r="AR132">
            <v>3</v>
          </cell>
          <cell r="AS132">
            <v>7</v>
          </cell>
          <cell r="AT132">
            <v>15</v>
          </cell>
          <cell r="AU132">
            <v>41</v>
          </cell>
          <cell r="AW132" t="str">
            <v xml:space="preserve">       a.  Admissions</v>
          </cell>
          <cell r="AX132">
            <v>33</v>
          </cell>
          <cell r="AY132">
            <v>112</v>
          </cell>
          <cell r="AZ132">
            <v>5</v>
          </cell>
          <cell r="BA132">
            <v>14</v>
          </cell>
          <cell r="BB132">
            <v>38</v>
          </cell>
          <cell r="BC132">
            <v>126</v>
          </cell>
        </row>
        <row r="133">
          <cell r="A133" t="str">
            <v xml:space="preserve">       b.  Patient Days</v>
          </cell>
          <cell r="B133">
            <v>6</v>
          </cell>
          <cell r="C133">
            <v>76</v>
          </cell>
          <cell r="D133">
            <v>4</v>
          </cell>
          <cell r="E133">
            <v>11</v>
          </cell>
          <cell r="F133">
            <v>10</v>
          </cell>
          <cell r="G133">
            <v>87</v>
          </cell>
          <cell r="I133" t="str">
            <v xml:space="preserve">       b.  Patient Days</v>
          </cell>
          <cell r="J133">
            <v>54</v>
          </cell>
          <cell r="K133">
            <v>170</v>
          </cell>
          <cell r="L133">
            <v>26</v>
          </cell>
          <cell r="M133">
            <v>63</v>
          </cell>
          <cell r="N133">
            <v>80</v>
          </cell>
          <cell r="O133">
            <v>233</v>
          </cell>
          <cell r="Q133" t="str">
            <v xml:space="preserve">       b.  Patient Days</v>
          </cell>
          <cell r="R133">
            <v>31</v>
          </cell>
          <cell r="S133">
            <v>95</v>
          </cell>
          <cell r="T133">
            <v>6</v>
          </cell>
          <cell r="U133">
            <v>6</v>
          </cell>
          <cell r="V133">
            <v>37</v>
          </cell>
          <cell r="W133">
            <v>101</v>
          </cell>
          <cell r="Y133" t="str">
            <v xml:space="preserve">       b.  Patient Days</v>
          </cell>
          <cell r="Z133">
            <v>1595</v>
          </cell>
          <cell r="AA133">
            <v>4179</v>
          </cell>
          <cell r="AB133">
            <v>268</v>
          </cell>
          <cell r="AC133">
            <v>826</v>
          </cell>
          <cell r="AD133">
            <v>1863</v>
          </cell>
          <cell r="AE133">
            <v>5005</v>
          </cell>
          <cell r="AG133" t="str">
            <v xml:space="preserve">       b.  Patient Days</v>
          </cell>
          <cell r="AH133">
            <v>260</v>
          </cell>
          <cell r="AI133">
            <v>727</v>
          </cell>
          <cell r="AJ133">
            <v>80</v>
          </cell>
          <cell r="AK133">
            <v>221</v>
          </cell>
          <cell r="AL133">
            <v>340</v>
          </cell>
          <cell r="AM133">
            <v>948</v>
          </cell>
          <cell r="AO133" t="str">
            <v xml:space="preserve">       b.  Patient Days</v>
          </cell>
          <cell r="AP133">
            <v>60</v>
          </cell>
          <cell r="AQ133">
            <v>165</v>
          </cell>
          <cell r="AR133">
            <v>21</v>
          </cell>
          <cell r="AS133">
            <v>52</v>
          </cell>
          <cell r="AT133">
            <v>81</v>
          </cell>
          <cell r="AU133">
            <v>217</v>
          </cell>
          <cell r="AW133" t="str">
            <v xml:space="preserve">       b.  Patient Days</v>
          </cell>
          <cell r="AX133">
            <v>174</v>
          </cell>
          <cell r="AY133">
            <v>682</v>
          </cell>
          <cell r="AZ133">
            <v>18</v>
          </cell>
          <cell r="BA133">
            <v>52</v>
          </cell>
          <cell r="BB133">
            <v>192</v>
          </cell>
          <cell r="BC133">
            <v>734</v>
          </cell>
        </row>
        <row r="134">
          <cell r="A134" t="str">
            <v xml:space="preserve">       c.  Discharges</v>
          </cell>
          <cell r="B134">
            <v>3</v>
          </cell>
          <cell r="C134">
            <v>18</v>
          </cell>
          <cell r="D134">
            <v>1</v>
          </cell>
          <cell r="E134">
            <v>2</v>
          </cell>
          <cell r="F134">
            <v>4</v>
          </cell>
          <cell r="G134">
            <v>20</v>
          </cell>
          <cell r="I134" t="str">
            <v xml:space="preserve">       c.  Discharges</v>
          </cell>
          <cell r="J134">
            <v>9</v>
          </cell>
          <cell r="K134">
            <v>26</v>
          </cell>
          <cell r="L134">
            <v>3</v>
          </cell>
          <cell r="M134">
            <v>10</v>
          </cell>
          <cell r="N134">
            <v>12</v>
          </cell>
          <cell r="O134">
            <v>36</v>
          </cell>
          <cell r="Q134" t="str">
            <v xml:space="preserve">       c.  Discharges</v>
          </cell>
          <cell r="R134">
            <v>7</v>
          </cell>
          <cell r="S134">
            <v>13</v>
          </cell>
          <cell r="T134">
            <v>2</v>
          </cell>
          <cell r="U134">
            <v>2</v>
          </cell>
          <cell r="V134">
            <v>9</v>
          </cell>
          <cell r="W134">
            <v>15</v>
          </cell>
          <cell r="Y134" t="str">
            <v xml:space="preserve">       c.  Discharges</v>
          </cell>
          <cell r="Z134">
            <v>279</v>
          </cell>
          <cell r="AA134">
            <v>749</v>
          </cell>
          <cell r="AB134">
            <v>47</v>
          </cell>
          <cell r="AC134">
            <v>136</v>
          </cell>
          <cell r="AD134">
            <v>326</v>
          </cell>
          <cell r="AE134">
            <v>885</v>
          </cell>
          <cell r="AG134" t="str">
            <v xml:space="preserve">       c.  Discharges</v>
          </cell>
          <cell r="AH134">
            <v>43</v>
          </cell>
          <cell r="AI134">
            <v>119</v>
          </cell>
          <cell r="AJ134">
            <v>4</v>
          </cell>
          <cell r="AK134">
            <v>28</v>
          </cell>
          <cell r="AL134">
            <v>47</v>
          </cell>
          <cell r="AM134">
            <v>147</v>
          </cell>
          <cell r="AO134" t="str">
            <v xml:space="preserve">       c.  Discharges</v>
          </cell>
          <cell r="AP134">
            <v>10</v>
          </cell>
          <cell r="AQ134">
            <v>31</v>
          </cell>
          <cell r="AR134">
            <v>3</v>
          </cell>
          <cell r="AS134">
            <v>7</v>
          </cell>
          <cell r="AT134">
            <v>13</v>
          </cell>
          <cell r="AU134">
            <v>38</v>
          </cell>
          <cell r="AW134" t="str">
            <v xml:space="preserve">       c.  Discharges</v>
          </cell>
          <cell r="AX134">
            <v>34</v>
          </cell>
          <cell r="AY134">
            <v>113</v>
          </cell>
          <cell r="AZ134">
            <v>5</v>
          </cell>
          <cell r="BA134">
            <v>13</v>
          </cell>
          <cell r="BB134">
            <v>39</v>
          </cell>
          <cell r="BC134">
            <v>126</v>
          </cell>
        </row>
        <row r="135">
          <cell r="A135" t="str">
            <v xml:space="preserve">       d.  Discharge Days</v>
          </cell>
          <cell r="B135">
            <v>6</v>
          </cell>
          <cell r="C135">
            <v>76</v>
          </cell>
          <cell r="D135">
            <v>4</v>
          </cell>
          <cell r="E135">
            <v>11</v>
          </cell>
          <cell r="F135">
            <v>10</v>
          </cell>
          <cell r="G135">
            <v>87</v>
          </cell>
          <cell r="I135" t="str">
            <v xml:space="preserve">       d.  Discharge Days</v>
          </cell>
          <cell r="J135">
            <v>37</v>
          </cell>
          <cell r="K135">
            <v>131</v>
          </cell>
          <cell r="L135">
            <v>26</v>
          </cell>
          <cell r="M135">
            <v>58</v>
          </cell>
          <cell r="N135">
            <v>63</v>
          </cell>
          <cell r="O135">
            <v>189</v>
          </cell>
          <cell r="Q135" t="str">
            <v xml:space="preserve">       d.  Discharge Days</v>
          </cell>
          <cell r="R135">
            <v>18</v>
          </cell>
          <cell r="S135">
            <v>65</v>
          </cell>
          <cell r="T135">
            <v>6</v>
          </cell>
          <cell r="U135">
            <v>6</v>
          </cell>
          <cell r="V135">
            <v>24</v>
          </cell>
          <cell r="W135">
            <v>71</v>
          </cell>
          <cell r="Y135" t="str">
            <v xml:space="preserve">       d.  Discharge Days</v>
          </cell>
          <cell r="Z135">
            <v>1264</v>
          </cell>
          <cell r="AA135">
            <v>3294</v>
          </cell>
          <cell r="AB135">
            <v>241</v>
          </cell>
          <cell r="AC135">
            <v>668</v>
          </cell>
          <cell r="AD135">
            <v>1505</v>
          </cell>
          <cell r="AE135">
            <v>3962</v>
          </cell>
          <cell r="AG135" t="str">
            <v xml:space="preserve">       d.  Discharge Days</v>
          </cell>
          <cell r="AH135">
            <v>208</v>
          </cell>
          <cell r="AI135">
            <v>586</v>
          </cell>
          <cell r="AJ135">
            <v>29</v>
          </cell>
          <cell r="AK135">
            <v>142</v>
          </cell>
          <cell r="AL135">
            <v>237</v>
          </cell>
          <cell r="AM135">
            <v>728</v>
          </cell>
          <cell r="AO135" t="str">
            <v xml:space="preserve">       d.  Discharge Days</v>
          </cell>
          <cell r="AP135">
            <v>37</v>
          </cell>
          <cell r="AQ135">
            <v>128</v>
          </cell>
          <cell r="AR135">
            <v>21</v>
          </cell>
          <cell r="AS135">
            <v>33</v>
          </cell>
          <cell r="AT135">
            <v>58</v>
          </cell>
          <cell r="AU135">
            <v>161</v>
          </cell>
          <cell r="AW135" t="str">
            <v xml:space="preserve">       d.  Discharge Days</v>
          </cell>
          <cell r="AX135">
            <v>157</v>
          </cell>
          <cell r="AY135">
            <v>519</v>
          </cell>
          <cell r="AZ135">
            <v>17</v>
          </cell>
          <cell r="BA135">
            <v>48</v>
          </cell>
          <cell r="BB135">
            <v>174</v>
          </cell>
          <cell r="BC135">
            <v>567</v>
          </cell>
        </row>
        <row r="136">
          <cell r="A136" t="str">
            <v xml:space="preserve">       e.  Average Length of Stay</v>
          </cell>
          <cell r="B136">
            <v>2</v>
          </cell>
          <cell r="C136">
            <v>4.2222222222222223</v>
          </cell>
          <cell r="D136">
            <v>4</v>
          </cell>
          <cell r="E136">
            <v>5.5</v>
          </cell>
          <cell r="F136">
            <v>2.5</v>
          </cell>
          <cell r="G136">
            <v>4.3499999999999996</v>
          </cell>
          <cell r="I136" t="str">
            <v xml:space="preserve">       e.  Average Length of Stay</v>
          </cell>
          <cell r="J136">
            <v>4.1111111111111107</v>
          </cell>
          <cell r="K136">
            <v>5.0384615384615383</v>
          </cell>
          <cell r="L136">
            <v>8.6666666666666661</v>
          </cell>
          <cell r="M136">
            <v>5.8</v>
          </cell>
          <cell r="N136">
            <v>5.25</v>
          </cell>
          <cell r="O136">
            <v>5.25</v>
          </cell>
          <cell r="Q136" t="str">
            <v xml:space="preserve">       e.  Average Length of Stay</v>
          </cell>
          <cell r="R136">
            <v>2.5714285714285716</v>
          </cell>
          <cell r="S136">
            <v>5</v>
          </cell>
          <cell r="T136">
            <v>3</v>
          </cell>
          <cell r="U136">
            <v>3</v>
          </cell>
          <cell r="V136">
            <v>2.6666666666666665</v>
          </cell>
          <cell r="W136">
            <v>4.7333333333333334</v>
          </cell>
          <cell r="Y136" t="str">
            <v xml:space="preserve">       e.  Average Length of Stay</v>
          </cell>
          <cell r="Z136">
            <v>4.5304659498207887</v>
          </cell>
          <cell r="AA136">
            <v>4.3978638184245664</v>
          </cell>
          <cell r="AB136">
            <v>5.1276595744680851</v>
          </cell>
          <cell r="AC136">
            <v>4.9117647058823533</v>
          </cell>
          <cell r="AD136">
            <v>4.6165644171779139</v>
          </cell>
          <cell r="AE136">
            <v>4.4768361581920901</v>
          </cell>
          <cell r="AG136" t="str">
            <v xml:space="preserve">       e.  Average Length of Stay</v>
          </cell>
          <cell r="AH136">
            <v>4.8372093023255811</v>
          </cell>
          <cell r="AI136">
            <v>4.9243697478991599</v>
          </cell>
          <cell r="AJ136">
            <v>7.25</v>
          </cell>
          <cell r="AK136">
            <v>5.0714285714285712</v>
          </cell>
          <cell r="AL136">
            <v>5.042553191489362</v>
          </cell>
          <cell r="AM136">
            <v>4.9523809523809526</v>
          </cell>
          <cell r="AO136" t="str">
            <v xml:space="preserve">       e.  Average Length of Stay</v>
          </cell>
          <cell r="AP136">
            <v>3.7</v>
          </cell>
          <cell r="AQ136">
            <v>4.129032258064516</v>
          </cell>
          <cell r="AR136">
            <v>7</v>
          </cell>
          <cell r="AS136">
            <v>4.7142857142857144</v>
          </cell>
          <cell r="AT136">
            <v>4.4615384615384617</v>
          </cell>
          <cell r="AU136">
            <v>4.2368421052631575</v>
          </cell>
          <cell r="AW136" t="str">
            <v xml:space="preserve">       e.  Average Length of Stay</v>
          </cell>
          <cell r="AX136">
            <v>4.617647058823529</v>
          </cell>
          <cell r="AY136">
            <v>4.5929203539823007</v>
          </cell>
          <cell r="AZ136">
            <v>3.4</v>
          </cell>
          <cell r="BA136">
            <v>3.6923076923076925</v>
          </cell>
          <cell r="BB136">
            <v>4.4615384615384617</v>
          </cell>
          <cell r="BC136">
            <v>4.5</v>
          </cell>
        </row>
        <row r="138">
          <cell r="A138" t="str">
            <v>D.   Emergency Room Visits</v>
          </cell>
          <cell r="B138">
            <v>2</v>
          </cell>
          <cell r="C138">
            <v>8</v>
          </cell>
          <cell r="D138">
            <v>0</v>
          </cell>
          <cell r="E138">
            <v>3</v>
          </cell>
          <cell r="F138">
            <v>2</v>
          </cell>
          <cell r="G138">
            <v>11</v>
          </cell>
          <cell r="I138" t="str">
            <v>D.   Emergency Room Visits</v>
          </cell>
          <cell r="J138">
            <v>6</v>
          </cell>
          <cell r="K138">
            <v>18</v>
          </cell>
          <cell r="L138">
            <v>3</v>
          </cell>
          <cell r="M138">
            <v>10</v>
          </cell>
          <cell r="N138">
            <v>9</v>
          </cell>
          <cell r="O138">
            <v>28</v>
          </cell>
          <cell r="Q138" t="str">
            <v>D.   Emergency Room Visits</v>
          </cell>
          <cell r="R138">
            <v>4</v>
          </cell>
          <cell r="S138">
            <v>9</v>
          </cell>
          <cell r="T138">
            <v>0</v>
          </cell>
          <cell r="U138">
            <v>1</v>
          </cell>
          <cell r="V138">
            <v>4</v>
          </cell>
          <cell r="W138">
            <v>10</v>
          </cell>
          <cell r="Y138" t="str">
            <v>D.   Emergency Room Visits</v>
          </cell>
          <cell r="Z138">
            <v>79</v>
          </cell>
          <cell r="AA138">
            <v>247</v>
          </cell>
          <cell r="AB138">
            <v>41</v>
          </cell>
          <cell r="AC138">
            <v>131</v>
          </cell>
          <cell r="AD138">
            <v>120</v>
          </cell>
          <cell r="AE138">
            <v>378</v>
          </cell>
          <cell r="AG138" t="str">
            <v>D.   Emergency Room Visits</v>
          </cell>
          <cell r="AH138">
            <v>28</v>
          </cell>
          <cell r="AI138">
            <v>102</v>
          </cell>
          <cell r="AJ138">
            <v>12</v>
          </cell>
          <cell r="AK138">
            <v>32</v>
          </cell>
          <cell r="AL138">
            <v>40</v>
          </cell>
          <cell r="AM138">
            <v>134</v>
          </cell>
          <cell r="AO138" t="str">
            <v>D.   Emergency Room Visits</v>
          </cell>
          <cell r="AP138">
            <v>11</v>
          </cell>
          <cell r="AQ138">
            <v>27</v>
          </cell>
          <cell r="AR138">
            <v>4</v>
          </cell>
          <cell r="AS138">
            <v>12</v>
          </cell>
          <cell r="AT138">
            <v>15</v>
          </cell>
          <cell r="AU138">
            <v>39</v>
          </cell>
          <cell r="AW138" t="str">
            <v>D.   Emergency Room Visits</v>
          </cell>
          <cell r="AX138">
            <v>13</v>
          </cell>
          <cell r="AY138">
            <v>43</v>
          </cell>
          <cell r="AZ138">
            <v>1</v>
          </cell>
          <cell r="BA138">
            <v>10</v>
          </cell>
          <cell r="BB138">
            <v>14</v>
          </cell>
          <cell r="BC138">
            <v>53</v>
          </cell>
        </row>
        <row r="142">
          <cell r="A142" t="str">
            <v>Program Contractor Financial Reporting Systems - Report #11A Utilization Data Report by County</v>
          </cell>
          <cell r="I142" t="str">
            <v>Program Contractor Financial Reporting Systems - Report #11A Utilization Data Report by County</v>
          </cell>
          <cell r="Q142" t="str">
            <v>Program Contractor Financial Reporting Systems - Report #11A Utilization Data Report by County</v>
          </cell>
          <cell r="Y142" t="str">
            <v>Program Contractor Financial Reporting Systems - Report #11A Utilization Data Report by County</v>
          </cell>
          <cell r="AG142" t="str">
            <v>Program Contractor Financial Reporting Systems - Report #11A Utilization Data Report by County</v>
          </cell>
          <cell r="AO142" t="str">
            <v>Program Contractor Financial Reporting Systems - Report #11A Utilization Data Report by County</v>
          </cell>
          <cell r="AW142" t="str">
            <v>Program Contractor Financial Reporting Systems - Report #11A Utilization Data Report by County</v>
          </cell>
        </row>
        <row r="144">
          <cell r="A144" t="str">
            <v>Statement for Program Contractor 110049 - Evercare of Arizona, Inc.</v>
          </cell>
          <cell r="F144" t="str">
            <v>County:</v>
          </cell>
          <cell r="G144" t="str">
            <v>Apache</v>
          </cell>
          <cell r="I144" t="str">
            <v>Statement for Program Contractor 110049 - Evercare of Arizona, Inc.</v>
          </cell>
          <cell r="N144" t="str">
            <v>County:</v>
          </cell>
          <cell r="O144" t="str">
            <v>Coconino</v>
          </cell>
          <cell r="Q144" t="str">
            <v>Statement for Program Contractor 110049 - Evercare of Arizona, Inc.</v>
          </cell>
          <cell r="V144" t="str">
            <v>County:</v>
          </cell>
          <cell r="W144" t="str">
            <v>La Paz</v>
          </cell>
          <cell r="Y144" t="str">
            <v>Statement for Program Contractor 110049 - Evercare of Arizona, Inc.</v>
          </cell>
          <cell r="AD144" t="str">
            <v>County:</v>
          </cell>
          <cell r="AE144" t="str">
            <v>Maricopa</v>
          </cell>
          <cell r="AG144" t="str">
            <v>Statement for Program Contractor 110049 - Evercare of Arizona, Inc.</v>
          </cell>
          <cell r="AL144" t="str">
            <v>County:</v>
          </cell>
          <cell r="AM144" t="str">
            <v>Mohave</v>
          </cell>
          <cell r="AO144" t="str">
            <v>Statement for Program Contractor 110049 - Evercare of Arizona, Inc.</v>
          </cell>
          <cell r="AT144" t="str">
            <v>County:</v>
          </cell>
          <cell r="AU144" t="str">
            <v>Navajo</v>
          </cell>
          <cell r="AW144" t="str">
            <v>Statement for Program Contractor 110049 - Evercare of Arizona, Inc.</v>
          </cell>
          <cell r="BB144" t="str">
            <v>County:</v>
          </cell>
          <cell r="BC144" t="str">
            <v>Yuma</v>
          </cell>
        </row>
        <row r="146">
          <cell r="A146" t="str">
            <v>For the Month ending 1/31/2006 in the Fiscal Year ending 9/30/2006</v>
          </cell>
          <cell r="F146" t="str">
            <v>Page 1 of 21</v>
          </cell>
          <cell r="I146" t="str">
            <v>For the Month ending 1/31/2006 in the Fiscal Year ending 9/30/2006</v>
          </cell>
          <cell r="N146" t="str">
            <v>Page 4 of 21</v>
          </cell>
          <cell r="Q146" t="str">
            <v>For the Month ending 1/31/2006 in the Fiscal Year ending 9/30/2006</v>
          </cell>
          <cell r="V146" t="str">
            <v>Page 7 of 21</v>
          </cell>
          <cell r="Y146" t="str">
            <v>For the Month ending 1/31/2006 in the Fiscal Year ending 9/30/2006</v>
          </cell>
          <cell r="AD146" t="str">
            <v>Page 10 of 21</v>
          </cell>
          <cell r="AG146" t="str">
            <v>For the Month ending 1/31/2006 in the Fiscal Year ending 9/30/2006</v>
          </cell>
          <cell r="AL146" t="str">
            <v>Page 13 of 21</v>
          </cell>
          <cell r="AO146" t="str">
            <v>For the Month ending 1/31/2006 in the Fiscal Year ending 9/30/2006</v>
          </cell>
          <cell r="AT146" t="str">
            <v>Page 16 of 21</v>
          </cell>
          <cell r="AW146" t="str">
            <v>For the Month ending 1/31/2006 in the Fiscal Year ending 9/30/2006</v>
          </cell>
          <cell r="BB146" t="str">
            <v>Page 19 of 21</v>
          </cell>
        </row>
        <row r="149">
          <cell r="A149" t="str">
            <v>Utilization Data Report by County</v>
          </cell>
          <cell r="I149" t="str">
            <v>Utilization Data Report by County</v>
          </cell>
          <cell r="Q149" t="str">
            <v>Utilization Data Report by County</v>
          </cell>
          <cell r="Y149" t="str">
            <v>Utilization Data Report by County</v>
          </cell>
          <cell r="AG149" t="str">
            <v>Utilization Data Report by County</v>
          </cell>
          <cell r="AO149" t="str">
            <v>Utilization Data Report by County</v>
          </cell>
          <cell r="AW149" t="str">
            <v>Utilization Data Report by County</v>
          </cell>
        </row>
        <row r="151">
          <cell r="B151" t="str">
            <v>MEDICARE</v>
          </cell>
          <cell r="D151" t="str">
            <v>NON-MEDICARE</v>
          </cell>
          <cell r="F151" t="str">
            <v>TOTAL</v>
          </cell>
          <cell r="J151" t="str">
            <v>MEDICARE</v>
          </cell>
          <cell r="L151" t="str">
            <v>NON-MEDICARE</v>
          </cell>
          <cell r="N151" t="str">
            <v>TOTAL</v>
          </cell>
          <cell r="R151" t="str">
            <v>MEDICARE</v>
          </cell>
          <cell r="T151" t="str">
            <v>NON-MEDICARE</v>
          </cell>
          <cell r="V151" t="str">
            <v>TOTAL</v>
          </cell>
          <cell r="Z151" t="str">
            <v>MEDICARE</v>
          </cell>
          <cell r="AB151" t="str">
            <v>NON-MEDICARE</v>
          </cell>
          <cell r="AD151" t="str">
            <v>TOTAL</v>
          </cell>
          <cell r="AH151" t="str">
            <v>MEDICARE</v>
          </cell>
          <cell r="AJ151" t="str">
            <v>NON-MEDICARE</v>
          </cell>
          <cell r="AL151" t="str">
            <v>TOTAL</v>
          </cell>
          <cell r="AP151" t="str">
            <v>MEDICARE</v>
          </cell>
          <cell r="AR151" t="str">
            <v>NON-MEDICARE</v>
          </cell>
          <cell r="AT151" t="str">
            <v>TOTAL</v>
          </cell>
          <cell r="AX151" t="str">
            <v>MEDICARE</v>
          </cell>
          <cell r="AZ151" t="str">
            <v>NON-MEDICARE</v>
          </cell>
          <cell r="BB151" t="str">
            <v>TOTAL</v>
          </cell>
        </row>
        <row r="152">
          <cell r="A152" t="str">
            <v>ITEM DESCRIPTION</v>
          </cell>
          <cell r="B152" t="str">
            <v>Current</v>
          </cell>
          <cell r="D152" t="str">
            <v>Current</v>
          </cell>
          <cell r="F152" t="str">
            <v>Current</v>
          </cell>
          <cell r="I152" t="str">
            <v>ITEM DESCRIPTION</v>
          </cell>
          <cell r="J152" t="str">
            <v>Current</v>
          </cell>
          <cell r="L152" t="str">
            <v>Current</v>
          </cell>
          <cell r="N152" t="str">
            <v>Current</v>
          </cell>
          <cell r="Q152" t="str">
            <v>ITEM DESCRIPTION</v>
          </cell>
          <cell r="R152" t="str">
            <v>Current</v>
          </cell>
          <cell r="T152" t="str">
            <v>Current</v>
          </cell>
          <cell r="V152" t="str">
            <v>Current</v>
          </cell>
          <cell r="Y152" t="str">
            <v>ITEM DESCRIPTION</v>
          </cell>
          <cell r="Z152" t="str">
            <v>Current</v>
          </cell>
          <cell r="AB152" t="str">
            <v>Current</v>
          </cell>
          <cell r="AD152" t="str">
            <v>Current</v>
          </cell>
          <cell r="AG152" t="str">
            <v>ITEM DESCRIPTION</v>
          </cell>
          <cell r="AH152" t="str">
            <v>Current</v>
          </cell>
          <cell r="AJ152" t="str">
            <v>Current</v>
          </cell>
          <cell r="AL152" t="str">
            <v>Current</v>
          </cell>
          <cell r="AO152" t="str">
            <v>ITEM DESCRIPTION</v>
          </cell>
          <cell r="AP152" t="str">
            <v>Current</v>
          </cell>
          <cell r="AR152" t="str">
            <v>Current</v>
          </cell>
          <cell r="AT152" t="str">
            <v>Current</v>
          </cell>
          <cell r="AW152" t="str">
            <v>ITEM DESCRIPTION</v>
          </cell>
          <cell r="AX152" t="str">
            <v>Current</v>
          </cell>
          <cell r="AZ152" t="str">
            <v>Current</v>
          </cell>
          <cell r="BB152" t="str">
            <v>Current</v>
          </cell>
        </row>
        <row r="153">
          <cell r="B153" t="str">
            <v>Period</v>
          </cell>
          <cell r="C153" t="str">
            <v>YTD</v>
          </cell>
          <cell r="D153" t="str">
            <v>Period</v>
          </cell>
          <cell r="E153" t="str">
            <v>YTD</v>
          </cell>
          <cell r="F153" t="str">
            <v>Period</v>
          </cell>
          <cell r="G153" t="str">
            <v>YTD</v>
          </cell>
          <cell r="J153" t="str">
            <v>Period</v>
          </cell>
          <cell r="K153" t="str">
            <v>YTD</v>
          </cell>
          <cell r="L153" t="str">
            <v>Period</v>
          </cell>
          <cell r="M153" t="str">
            <v>YTD</v>
          </cell>
          <cell r="N153" t="str">
            <v>Period</v>
          </cell>
          <cell r="O153" t="str">
            <v>YTD</v>
          </cell>
          <cell r="R153" t="str">
            <v>Period</v>
          </cell>
          <cell r="S153" t="str">
            <v>YTD</v>
          </cell>
          <cell r="T153" t="str">
            <v>Period</v>
          </cell>
          <cell r="U153" t="str">
            <v>YTD</v>
          </cell>
          <cell r="V153" t="str">
            <v>Period</v>
          </cell>
          <cell r="W153" t="str">
            <v>YTD</v>
          </cell>
          <cell r="Z153" t="str">
            <v>Period</v>
          </cell>
          <cell r="AA153" t="str">
            <v>YTD</v>
          </cell>
          <cell r="AB153" t="str">
            <v>Period</v>
          </cell>
          <cell r="AC153" t="str">
            <v>YTD</v>
          </cell>
          <cell r="AD153" t="str">
            <v>Period</v>
          </cell>
          <cell r="AE153" t="str">
            <v>YTD</v>
          </cell>
          <cell r="AH153" t="str">
            <v>Period</v>
          </cell>
          <cell r="AI153" t="str">
            <v>YTD</v>
          </cell>
          <cell r="AJ153" t="str">
            <v>Period</v>
          </cell>
          <cell r="AK153" t="str">
            <v>YTD</v>
          </cell>
          <cell r="AL153" t="str">
            <v>Period</v>
          </cell>
          <cell r="AM153" t="str">
            <v>YTD</v>
          </cell>
          <cell r="AP153" t="str">
            <v>Period</v>
          </cell>
          <cell r="AQ153" t="str">
            <v>YTD</v>
          </cell>
          <cell r="AR153" t="str">
            <v>Period</v>
          </cell>
          <cell r="AS153" t="str">
            <v>YTD</v>
          </cell>
          <cell r="AT153" t="str">
            <v>Period</v>
          </cell>
          <cell r="AU153" t="str">
            <v>YTD</v>
          </cell>
          <cell r="AX153" t="str">
            <v>Period</v>
          </cell>
          <cell r="AY153" t="str">
            <v>YTD</v>
          </cell>
          <cell r="AZ153" t="str">
            <v>Period</v>
          </cell>
          <cell r="BA153" t="str">
            <v>YTD</v>
          </cell>
          <cell r="BB153" t="str">
            <v>Period</v>
          </cell>
          <cell r="BC153" t="str">
            <v>YTD</v>
          </cell>
        </row>
        <row r="154">
          <cell r="A154" t="str">
            <v>A.   Enrollees (At End of Period)</v>
          </cell>
          <cell r="B154">
            <v>0</v>
          </cell>
          <cell r="D154">
            <v>0</v>
          </cell>
          <cell r="F154">
            <v>0</v>
          </cell>
          <cell r="I154" t="str">
            <v>A.   Enrollees (At End of Period)</v>
          </cell>
          <cell r="J154">
            <v>0</v>
          </cell>
          <cell r="L154">
            <v>0</v>
          </cell>
          <cell r="N154">
            <v>0</v>
          </cell>
          <cell r="Q154" t="str">
            <v>A.   Enrollees (At End of Period)</v>
          </cell>
          <cell r="R154">
            <v>0</v>
          </cell>
          <cell r="T154">
            <v>0</v>
          </cell>
          <cell r="V154">
            <v>0</v>
          </cell>
          <cell r="Y154" t="str">
            <v>A.   Enrollees (At End of Period)</v>
          </cell>
          <cell r="Z154">
            <v>0</v>
          </cell>
          <cell r="AB154">
            <v>0</v>
          </cell>
          <cell r="AD154">
            <v>0</v>
          </cell>
          <cell r="AG154" t="str">
            <v>A.   Enrollees (At End of Period)</v>
          </cell>
          <cell r="AH154">
            <v>0</v>
          </cell>
          <cell r="AJ154">
            <v>0</v>
          </cell>
          <cell r="AL154">
            <v>0</v>
          </cell>
          <cell r="AO154" t="str">
            <v>A.   Enrollees (At End of Period)</v>
          </cell>
          <cell r="AP154">
            <v>0</v>
          </cell>
          <cell r="AR154">
            <v>0</v>
          </cell>
          <cell r="AT154">
            <v>0</v>
          </cell>
          <cell r="AW154" t="str">
            <v>A.   Enrollees (At End of Period)</v>
          </cell>
          <cell r="AX154">
            <v>0</v>
          </cell>
          <cell r="AZ154">
            <v>0</v>
          </cell>
          <cell r="BB154">
            <v>0</v>
          </cell>
        </row>
        <row r="156">
          <cell r="A156" t="str">
            <v>B.   Member Months (Unduplicated)</v>
          </cell>
          <cell r="B156">
            <v>0</v>
          </cell>
          <cell r="C156">
            <v>190.88669999999996</v>
          </cell>
          <cell r="D156">
            <v>0</v>
          </cell>
          <cell r="E156">
            <v>54.75</v>
          </cell>
          <cell r="F156">
            <v>0</v>
          </cell>
          <cell r="G156">
            <v>245.63669999999996</v>
          </cell>
          <cell r="I156" t="str">
            <v>B.   Member Months (Unduplicated)</v>
          </cell>
          <cell r="J156">
            <v>0</v>
          </cell>
          <cell r="K156">
            <v>513.7274000000001</v>
          </cell>
          <cell r="L156">
            <v>0</v>
          </cell>
          <cell r="M156">
            <v>110.61330000000001</v>
          </cell>
          <cell r="N156">
            <v>0</v>
          </cell>
          <cell r="O156">
            <v>624.34070000000008</v>
          </cell>
          <cell r="Q156" t="str">
            <v>B.   Member Months (Unduplicated)</v>
          </cell>
          <cell r="R156">
            <v>0</v>
          </cell>
          <cell r="S156">
            <v>222.08120000000002</v>
          </cell>
          <cell r="T156">
            <v>0</v>
          </cell>
          <cell r="U156">
            <v>17.07</v>
          </cell>
          <cell r="V156">
            <v>0</v>
          </cell>
          <cell r="W156">
            <v>239.15120000000002</v>
          </cell>
          <cell r="Y156" t="str">
            <v>B.   Member Months (Unduplicated)</v>
          </cell>
          <cell r="Z156">
            <v>0</v>
          </cell>
          <cell r="AA156">
            <v>13367.081800000002</v>
          </cell>
          <cell r="AB156">
            <v>0</v>
          </cell>
          <cell r="AC156">
            <v>1964.4491000000003</v>
          </cell>
          <cell r="AD156">
            <v>0</v>
          </cell>
          <cell r="AE156">
            <v>15331.530900000002</v>
          </cell>
          <cell r="AG156" t="str">
            <v>B.   Member Months (Unduplicated)</v>
          </cell>
          <cell r="AH156">
            <v>0</v>
          </cell>
          <cell r="AI156">
            <v>2465.0030999999999</v>
          </cell>
          <cell r="AJ156">
            <v>0</v>
          </cell>
          <cell r="AK156">
            <v>338.37329999999997</v>
          </cell>
          <cell r="AL156">
            <v>0</v>
          </cell>
          <cell r="AM156">
            <v>2803.3764000000001</v>
          </cell>
          <cell r="AO156" t="str">
            <v>B.   Member Months (Unduplicated)</v>
          </cell>
          <cell r="AP156">
            <v>0</v>
          </cell>
          <cell r="AQ156">
            <v>588.85000000000014</v>
          </cell>
          <cell r="AR156">
            <v>0</v>
          </cell>
          <cell r="AS156">
            <v>145.74229999999997</v>
          </cell>
          <cell r="AT156">
            <v>0</v>
          </cell>
          <cell r="AU156">
            <v>734.59230000000014</v>
          </cell>
          <cell r="AW156" t="str">
            <v>B.   Member Months (Unduplicated)</v>
          </cell>
          <cell r="AX156">
            <v>0</v>
          </cell>
          <cell r="AY156">
            <v>1674.2218</v>
          </cell>
          <cell r="AZ156">
            <v>0</v>
          </cell>
          <cell r="BA156">
            <v>331.96999999999997</v>
          </cell>
          <cell r="BB156">
            <v>0</v>
          </cell>
          <cell r="BC156">
            <v>2006.1918000000001</v>
          </cell>
        </row>
        <row r="157">
          <cell r="A157" t="str">
            <v xml:space="preserve">   Institutional Member Months Total</v>
          </cell>
          <cell r="B157">
            <v>0</v>
          </cell>
          <cell r="C157">
            <v>15.7</v>
          </cell>
          <cell r="D157">
            <v>0</v>
          </cell>
          <cell r="E157">
            <v>11.14</v>
          </cell>
          <cell r="F157">
            <v>0</v>
          </cell>
          <cell r="G157">
            <v>26.84</v>
          </cell>
          <cell r="I157" t="str">
            <v xml:space="preserve">   Institutional Member Months Total</v>
          </cell>
          <cell r="J157">
            <v>0</v>
          </cell>
          <cell r="K157">
            <v>190.48</v>
          </cell>
          <cell r="L157">
            <v>0</v>
          </cell>
          <cell r="M157">
            <v>12.73</v>
          </cell>
          <cell r="N157">
            <v>0</v>
          </cell>
          <cell r="O157">
            <v>203.20999999999998</v>
          </cell>
          <cell r="Q157" t="str">
            <v xml:space="preserve">   Institutional Member Months Total</v>
          </cell>
          <cell r="R157">
            <v>0</v>
          </cell>
          <cell r="S157">
            <v>122.66999999999999</v>
          </cell>
          <cell r="T157">
            <v>0</v>
          </cell>
          <cell r="U157">
            <v>3</v>
          </cell>
          <cell r="V157">
            <v>0</v>
          </cell>
          <cell r="W157">
            <v>125.66999999999999</v>
          </cell>
          <cell r="Y157" t="str">
            <v xml:space="preserve">   Institutional Member Months Total</v>
          </cell>
          <cell r="Z157">
            <v>0</v>
          </cell>
          <cell r="AA157">
            <v>5378.2800000000007</v>
          </cell>
          <cell r="AB157">
            <v>0</v>
          </cell>
          <cell r="AC157">
            <v>460.42000000000007</v>
          </cell>
          <cell r="AD157">
            <v>0</v>
          </cell>
          <cell r="AE157">
            <v>5838.7000000000007</v>
          </cell>
          <cell r="AG157" t="str">
            <v xml:space="preserve">   Institutional Member Months Total</v>
          </cell>
          <cell r="AH157">
            <v>0</v>
          </cell>
          <cell r="AI157">
            <v>1342.8</v>
          </cell>
          <cell r="AJ157">
            <v>0</v>
          </cell>
          <cell r="AK157">
            <v>92.289999999999992</v>
          </cell>
          <cell r="AL157">
            <v>0</v>
          </cell>
          <cell r="AM157">
            <v>1435.09</v>
          </cell>
          <cell r="AO157" t="str">
            <v xml:space="preserve">   Institutional Member Months Total</v>
          </cell>
          <cell r="AP157">
            <v>0</v>
          </cell>
          <cell r="AQ157">
            <v>111.26</v>
          </cell>
          <cell r="AR157">
            <v>0</v>
          </cell>
          <cell r="AS157">
            <v>25.259999999999998</v>
          </cell>
          <cell r="AT157">
            <v>0</v>
          </cell>
          <cell r="AU157">
            <v>136.52000000000001</v>
          </cell>
          <cell r="AW157" t="str">
            <v xml:space="preserve">   Institutional Member Months Total</v>
          </cell>
          <cell r="AX157">
            <v>0</v>
          </cell>
          <cell r="AY157">
            <v>878.52</v>
          </cell>
          <cell r="AZ157">
            <v>0</v>
          </cell>
          <cell r="BA157">
            <v>113.56</v>
          </cell>
          <cell r="BB157">
            <v>0</v>
          </cell>
          <cell r="BC157">
            <v>992.07999999999993</v>
          </cell>
        </row>
        <row r="158">
          <cell r="A158" t="str">
            <v xml:space="preserve">   1.  Level I</v>
          </cell>
          <cell r="B158">
            <v>0</v>
          </cell>
          <cell r="C158">
            <v>6.81</v>
          </cell>
          <cell r="D158">
            <v>0</v>
          </cell>
          <cell r="E158">
            <v>8.14</v>
          </cell>
          <cell r="F158">
            <v>0</v>
          </cell>
          <cell r="G158">
            <v>14.95</v>
          </cell>
          <cell r="I158" t="str">
            <v xml:space="preserve">   1.  Level I</v>
          </cell>
          <cell r="J158">
            <v>0</v>
          </cell>
          <cell r="K158">
            <v>86.49</v>
          </cell>
          <cell r="L158">
            <v>0</v>
          </cell>
          <cell r="M158">
            <v>8.23</v>
          </cell>
          <cell r="N158">
            <v>0</v>
          </cell>
          <cell r="O158">
            <v>94.72</v>
          </cell>
          <cell r="Q158" t="str">
            <v xml:space="preserve">   1.  Level I</v>
          </cell>
          <cell r="R158">
            <v>0</v>
          </cell>
          <cell r="S158">
            <v>78.349999999999994</v>
          </cell>
          <cell r="T158">
            <v>0</v>
          </cell>
          <cell r="U158">
            <v>0</v>
          </cell>
          <cell r="V158">
            <v>0</v>
          </cell>
          <cell r="W158">
            <v>78.349999999999994</v>
          </cell>
          <cell r="Y158" t="str">
            <v xml:space="preserve">   1.  Level I</v>
          </cell>
          <cell r="Z158">
            <v>0</v>
          </cell>
          <cell r="AA158">
            <v>3650.05</v>
          </cell>
          <cell r="AB158">
            <v>0</v>
          </cell>
          <cell r="AC158">
            <v>288.17</v>
          </cell>
          <cell r="AD158">
            <v>0</v>
          </cell>
          <cell r="AE158">
            <v>3938.2200000000003</v>
          </cell>
          <cell r="AG158" t="str">
            <v xml:space="preserve">   1.  Level I</v>
          </cell>
          <cell r="AH158">
            <v>0</v>
          </cell>
          <cell r="AI158">
            <v>607.04999999999995</v>
          </cell>
          <cell r="AJ158">
            <v>0</v>
          </cell>
          <cell r="AK158">
            <v>46.1</v>
          </cell>
          <cell r="AL158">
            <v>0</v>
          </cell>
          <cell r="AM158">
            <v>653.15</v>
          </cell>
          <cell r="AO158" t="str">
            <v xml:space="preserve">   1.  Level I</v>
          </cell>
          <cell r="AP158">
            <v>0</v>
          </cell>
          <cell r="AQ158">
            <v>64.41</v>
          </cell>
          <cell r="AR158">
            <v>0</v>
          </cell>
          <cell r="AS158">
            <v>22.259999999999998</v>
          </cell>
          <cell r="AT158">
            <v>0</v>
          </cell>
          <cell r="AU158">
            <v>86.669999999999987</v>
          </cell>
          <cell r="AW158" t="str">
            <v xml:space="preserve">   1.  Level I</v>
          </cell>
          <cell r="AX158">
            <v>0</v>
          </cell>
          <cell r="AY158">
            <v>471.98</v>
          </cell>
          <cell r="AZ158">
            <v>0</v>
          </cell>
          <cell r="BA158">
            <v>69.94</v>
          </cell>
          <cell r="BB158">
            <v>0</v>
          </cell>
          <cell r="BC158">
            <v>541.92000000000007</v>
          </cell>
        </row>
        <row r="159">
          <cell r="A159" t="str">
            <v xml:space="preserve">   2.  Level II</v>
          </cell>
          <cell r="B159">
            <v>0</v>
          </cell>
          <cell r="C159">
            <v>6.73</v>
          </cell>
          <cell r="D159">
            <v>0</v>
          </cell>
          <cell r="E159">
            <v>3</v>
          </cell>
          <cell r="F159">
            <v>0</v>
          </cell>
          <cell r="G159">
            <v>9.73</v>
          </cell>
          <cell r="I159" t="str">
            <v xml:space="preserve">   2.  Level II</v>
          </cell>
          <cell r="J159">
            <v>0</v>
          </cell>
          <cell r="K159">
            <v>87.8</v>
          </cell>
          <cell r="L159">
            <v>0</v>
          </cell>
          <cell r="M159">
            <v>3</v>
          </cell>
          <cell r="N159">
            <v>0</v>
          </cell>
          <cell r="O159">
            <v>90.8</v>
          </cell>
          <cell r="Q159" t="str">
            <v xml:space="preserve">   2.  Level II</v>
          </cell>
          <cell r="R159">
            <v>0</v>
          </cell>
          <cell r="S159">
            <v>37.57</v>
          </cell>
          <cell r="T159">
            <v>0</v>
          </cell>
          <cell r="U159">
            <v>3</v>
          </cell>
          <cell r="V159">
            <v>0</v>
          </cell>
          <cell r="W159">
            <v>40.57</v>
          </cell>
          <cell r="Y159" t="str">
            <v xml:space="preserve">   2.  Level II</v>
          </cell>
          <cell r="Z159">
            <v>0</v>
          </cell>
          <cell r="AA159">
            <v>1526.49</v>
          </cell>
          <cell r="AB159">
            <v>0</v>
          </cell>
          <cell r="AC159">
            <v>127.19</v>
          </cell>
          <cell r="AD159">
            <v>0</v>
          </cell>
          <cell r="AE159">
            <v>1653.68</v>
          </cell>
          <cell r="AG159" t="str">
            <v xml:space="preserve">   2.  Level II</v>
          </cell>
          <cell r="AH159">
            <v>0</v>
          </cell>
          <cell r="AI159">
            <v>602.55999999999995</v>
          </cell>
          <cell r="AJ159">
            <v>0</v>
          </cell>
          <cell r="AK159">
            <v>28.279999999999998</v>
          </cell>
          <cell r="AL159">
            <v>0</v>
          </cell>
          <cell r="AM159">
            <v>630.83999999999992</v>
          </cell>
          <cell r="AO159" t="str">
            <v xml:space="preserve">   2.  Level II</v>
          </cell>
          <cell r="AP159">
            <v>0</v>
          </cell>
          <cell r="AQ159">
            <v>39.450000000000003</v>
          </cell>
          <cell r="AR159">
            <v>0</v>
          </cell>
          <cell r="AS159">
            <v>3</v>
          </cell>
          <cell r="AT159">
            <v>0</v>
          </cell>
          <cell r="AU159">
            <v>42.45</v>
          </cell>
          <cell r="AW159" t="str">
            <v xml:space="preserve">   2.  Level II</v>
          </cell>
          <cell r="AX159">
            <v>0</v>
          </cell>
          <cell r="AY159">
            <v>357.26</v>
          </cell>
          <cell r="AZ159">
            <v>0</v>
          </cell>
          <cell r="BA159">
            <v>27.619999999999997</v>
          </cell>
          <cell r="BB159">
            <v>0</v>
          </cell>
          <cell r="BC159">
            <v>384.88</v>
          </cell>
        </row>
        <row r="160">
          <cell r="A160" t="str">
            <v xml:space="preserve">   3.  Level III</v>
          </cell>
          <cell r="B160">
            <v>0</v>
          </cell>
          <cell r="C160">
            <v>2.16</v>
          </cell>
          <cell r="D160">
            <v>0</v>
          </cell>
          <cell r="E160">
            <v>0</v>
          </cell>
          <cell r="F160">
            <v>0</v>
          </cell>
          <cell r="G160">
            <v>2.16</v>
          </cell>
          <cell r="I160" t="str">
            <v xml:space="preserve">   3.  Level III</v>
          </cell>
          <cell r="J160">
            <v>0</v>
          </cell>
          <cell r="K160">
            <v>16.190000000000001</v>
          </cell>
          <cell r="L160">
            <v>0</v>
          </cell>
          <cell r="M160">
            <v>1.5</v>
          </cell>
          <cell r="N160">
            <v>0</v>
          </cell>
          <cell r="O160">
            <v>17.690000000000001</v>
          </cell>
          <cell r="Q160" t="str">
            <v xml:space="preserve">   3.  Level III</v>
          </cell>
          <cell r="R160">
            <v>0</v>
          </cell>
          <cell r="S160">
            <v>6.75</v>
          </cell>
          <cell r="T160">
            <v>0</v>
          </cell>
          <cell r="U160">
            <v>0</v>
          </cell>
          <cell r="V160">
            <v>0</v>
          </cell>
          <cell r="W160">
            <v>6.75</v>
          </cell>
          <cell r="Y160" t="str">
            <v xml:space="preserve">   3.  Level III</v>
          </cell>
          <cell r="Z160">
            <v>0</v>
          </cell>
          <cell r="AA160">
            <v>200.77</v>
          </cell>
          <cell r="AB160">
            <v>0</v>
          </cell>
          <cell r="AC160">
            <v>31.090000000000003</v>
          </cell>
          <cell r="AD160">
            <v>0</v>
          </cell>
          <cell r="AE160">
            <v>231.86</v>
          </cell>
          <cell r="AG160" t="str">
            <v xml:space="preserve">   3.  Level III</v>
          </cell>
          <cell r="AH160">
            <v>0</v>
          </cell>
          <cell r="AI160">
            <v>133.19</v>
          </cell>
          <cell r="AJ160">
            <v>0</v>
          </cell>
          <cell r="AK160">
            <v>17.91</v>
          </cell>
          <cell r="AL160">
            <v>0</v>
          </cell>
          <cell r="AM160">
            <v>151.1</v>
          </cell>
          <cell r="AO160" t="str">
            <v xml:space="preserve">   3.  Level III</v>
          </cell>
          <cell r="AP160">
            <v>0</v>
          </cell>
          <cell r="AQ160">
            <v>0.4</v>
          </cell>
          <cell r="AR160">
            <v>0</v>
          </cell>
          <cell r="AS160">
            <v>0</v>
          </cell>
          <cell r="AT160">
            <v>0</v>
          </cell>
          <cell r="AU160">
            <v>0.4</v>
          </cell>
          <cell r="AW160" t="str">
            <v xml:space="preserve">   3.  Level III</v>
          </cell>
          <cell r="AX160">
            <v>0</v>
          </cell>
          <cell r="AY160">
            <v>49.28</v>
          </cell>
          <cell r="AZ160">
            <v>0</v>
          </cell>
          <cell r="BA160">
            <v>16</v>
          </cell>
          <cell r="BB160">
            <v>0</v>
          </cell>
          <cell r="BC160">
            <v>65.28</v>
          </cell>
        </row>
        <row r="161">
          <cell r="A161" t="str">
            <v xml:space="preserve">   4.  Level IV</v>
          </cell>
          <cell r="B161">
            <v>0</v>
          </cell>
          <cell r="C161">
            <v>0</v>
          </cell>
          <cell r="D161">
            <v>0</v>
          </cell>
          <cell r="E161">
            <v>0</v>
          </cell>
          <cell r="F161">
            <v>0</v>
          </cell>
          <cell r="G161">
            <v>0</v>
          </cell>
          <cell r="I161" t="str">
            <v xml:space="preserve">   4.  Level IV</v>
          </cell>
          <cell r="J161">
            <v>0</v>
          </cell>
          <cell r="K161">
            <v>0</v>
          </cell>
          <cell r="L161">
            <v>0</v>
          </cell>
          <cell r="M161">
            <v>0</v>
          </cell>
          <cell r="N161">
            <v>0</v>
          </cell>
          <cell r="O161">
            <v>0</v>
          </cell>
          <cell r="Q161" t="str">
            <v xml:space="preserve">   4.  Level IV</v>
          </cell>
          <cell r="R161">
            <v>0</v>
          </cell>
          <cell r="S161">
            <v>0</v>
          </cell>
          <cell r="T161">
            <v>0</v>
          </cell>
          <cell r="U161">
            <v>0</v>
          </cell>
          <cell r="V161">
            <v>0</v>
          </cell>
          <cell r="W161">
            <v>0</v>
          </cell>
          <cell r="Y161" t="str">
            <v xml:space="preserve">   4.  Level IV</v>
          </cell>
          <cell r="Z161">
            <v>0</v>
          </cell>
          <cell r="AA161">
            <v>0.97</v>
          </cell>
          <cell r="AB161">
            <v>0</v>
          </cell>
          <cell r="AC161">
            <v>13.969999999999999</v>
          </cell>
          <cell r="AD161">
            <v>0</v>
          </cell>
          <cell r="AE161">
            <v>14.94</v>
          </cell>
          <cell r="AG161" t="str">
            <v xml:space="preserve">   4.  Level IV</v>
          </cell>
          <cell r="AH161">
            <v>0</v>
          </cell>
          <cell r="AI161">
            <v>0</v>
          </cell>
          <cell r="AJ161">
            <v>0</v>
          </cell>
          <cell r="AK161">
            <v>0</v>
          </cell>
          <cell r="AL161">
            <v>0</v>
          </cell>
          <cell r="AM161">
            <v>0</v>
          </cell>
          <cell r="AO161" t="str">
            <v xml:space="preserve">   4.  Level IV</v>
          </cell>
          <cell r="AP161">
            <v>0</v>
          </cell>
          <cell r="AQ161">
            <v>7</v>
          </cell>
          <cell r="AR161">
            <v>0</v>
          </cell>
          <cell r="AS161">
            <v>0</v>
          </cell>
          <cell r="AT161">
            <v>0</v>
          </cell>
          <cell r="AU161">
            <v>7</v>
          </cell>
          <cell r="AW161" t="str">
            <v xml:space="preserve">   4.  Level IV</v>
          </cell>
          <cell r="AX161">
            <v>0</v>
          </cell>
          <cell r="AY161">
            <v>0</v>
          </cell>
          <cell r="AZ161">
            <v>0</v>
          </cell>
          <cell r="BA161">
            <v>0</v>
          </cell>
          <cell r="BB161">
            <v>0</v>
          </cell>
          <cell r="BC161">
            <v>0</v>
          </cell>
        </row>
        <row r="162">
          <cell r="A162" t="str">
            <v xml:space="preserve">   5.</v>
          </cell>
          <cell r="I162" t="str">
            <v xml:space="preserve">   5.</v>
          </cell>
          <cell r="Q162" t="str">
            <v xml:space="preserve">   5.</v>
          </cell>
          <cell r="Y162" t="str">
            <v xml:space="preserve">   5.</v>
          </cell>
          <cell r="AG162" t="str">
            <v xml:space="preserve">   5.</v>
          </cell>
          <cell r="AO162" t="str">
            <v xml:space="preserve">   5.</v>
          </cell>
          <cell r="AW162" t="str">
            <v xml:space="preserve">   5.</v>
          </cell>
        </row>
        <row r="163">
          <cell r="A163" t="str">
            <v xml:space="preserve">   6.</v>
          </cell>
          <cell r="I163" t="str">
            <v xml:space="preserve">   6.</v>
          </cell>
          <cell r="Q163" t="str">
            <v xml:space="preserve">   6.</v>
          </cell>
          <cell r="Y163" t="str">
            <v xml:space="preserve">   6.</v>
          </cell>
          <cell r="AG163" t="str">
            <v xml:space="preserve">   6.</v>
          </cell>
          <cell r="AO163" t="str">
            <v xml:space="preserve">   6.</v>
          </cell>
          <cell r="AW163" t="str">
            <v xml:space="preserve">   6.</v>
          </cell>
        </row>
        <row r="164">
          <cell r="A164" t="str">
            <v xml:space="preserve">   7.  Home and Community Based Services (HCBS) Total</v>
          </cell>
          <cell r="B164">
            <v>0</v>
          </cell>
          <cell r="C164">
            <v>193.30999999999997</v>
          </cell>
          <cell r="D164">
            <v>0</v>
          </cell>
          <cell r="E164">
            <v>50.61</v>
          </cell>
          <cell r="F164">
            <v>0</v>
          </cell>
          <cell r="G164">
            <v>243.91999999999996</v>
          </cell>
          <cell r="I164" t="str">
            <v xml:space="preserve">   7.  Home and Community Based Services (HCBS) Total</v>
          </cell>
          <cell r="J164">
            <v>0</v>
          </cell>
          <cell r="K164">
            <v>338.48</v>
          </cell>
          <cell r="L164">
            <v>0</v>
          </cell>
          <cell r="M164">
            <v>88.35</v>
          </cell>
          <cell r="N164">
            <v>0</v>
          </cell>
          <cell r="O164">
            <v>426.83000000000004</v>
          </cell>
          <cell r="Q164" t="str">
            <v xml:space="preserve">   7.  Home and Community Based Services (HCBS) Total</v>
          </cell>
          <cell r="R164">
            <v>0</v>
          </cell>
          <cell r="S164">
            <v>95.550000000000011</v>
          </cell>
          <cell r="T164">
            <v>0</v>
          </cell>
          <cell r="U164">
            <v>14.07</v>
          </cell>
          <cell r="V164">
            <v>0</v>
          </cell>
          <cell r="W164">
            <v>109.62</v>
          </cell>
          <cell r="Y164" t="str">
            <v xml:space="preserve">   7.  Home and Community Based Services (HCBS) Total</v>
          </cell>
          <cell r="Z164">
            <v>0</v>
          </cell>
          <cell r="AA164">
            <v>8554.57</v>
          </cell>
          <cell r="AB164">
            <v>0</v>
          </cell>
          <cell r="AC164">
            <v>1510.57</v>
          </cell>
          <cell r="AD164">
            <v>0</v>
          </cell>
          <cell r="AE164">
            <v>10065.14</v>
          </cell>
          <cell r="AG164" t="str">
            <v xml:space="preserve">   7.  Home and Community Based Services (HCBS) Total</v>
          </cell>
          <cell r="AH164">
            <v>0</v>
          </cell>
          <cell r="AI164">
            <v>1325.78</v>
          </cell>
          <cell r="AJ164">
            <v>0</v>
          </cell>
          <cell r="AK164">
            <v>251.34</v>
          </cell>
          <cell r="AL164">
            <v>0</v>
          </cell>
          <cell r="AM164">
            <v>1577.12</v>
          </cell>
          <cell r="AO164" t="str">
            <v xml:space="preserve">   7.  Home and Community Based Services (HCBS) Total</v>
          </cell>
          <cell r="AP164">
            <v>0</v>
          </cell>
          <cell r="AQ164">
            <v>479.69000000000005</v>
          </cell>
          <cell r="AR164">
            <v>0</v>
          </cell>
          <cell r="AS164">
            <v>135.70999999999998</v>
          </cell>
          <cell r="AT164">
            <v>0</v>
          </cell>
          <cell r="AU164">
            <v>615.40000000000009</v>
          </cell>
          <cell r="AW164" t="str">
            <v xml:space="preserve">   7.  Home and Community Based Services (HCBS) Total</v>
          </cell>
          <cell r="AX164">
            <v>0</v>
          </cell>
          <cell r="AY164">
            <v>1021.8000000000001</v>
          </cell>
          <cell r="AZ164">
            <v>0</v>
          </cell>
          <cell r="BA164">
            <v>258.95</v>
          </cell>
          <cell r="BB164">
            <v>0</v>
          </cell>
          <cell r="BC164">
            <v>1280.75</v>
          </cell>
        </row>
        <row r="165">
          <cell r="A165" t="str">
            <v xml:space="preserve">       a.  Adult Foster Care</v>
          </cell>
          <cell r="B165">
            <v>0</v>
          </cell>
          <cell r="C165">
            <v>0</v>
          </cell>
          <cell r="D165">
            <v>0</v>
          </cell>
          <cell r="E165">
            <v>0</v>
          </cell>
          <cell r="F165">
            <v>0</v>
          </cell>
          <cell r="G165">
            <v>0</v>
          </cell>
          <cell r="I165" t="str">
            <v xml:space="preserve">       a.  Adult Foster Care</v>
          </cell>
          <cell r="J165">
            <v>0</v>
          </cell>
          <cell r="K165">
            <v>0</v>
          </cell>
          <cell r="L165">
            <v>0</v>
          </cell>
          <cell r="M165">
            <v>1.17</v>
          </cell>
          <cell r="N165">
            <v>0</v>
          </cell>
          <cell r="O165">
            <v>1.17</v>
          </cell>
          <cell r="Q165" t="str">
            <v xml:space="preserve">       a.  Adult Foster Care</v>
          </cell>
          <cell r="R165">
            <v>0</v>
          </cell>
          <cell r="S165">
            <v>0</v>
          </cell>
          <cell r="T165">
            <v>0</v>
          </cell>
          <cell r="U165">
            <v>0</v>
          </cell>
          <cell r="V165">
            <v>0</v>
          </cell>
          <cell r="W165">
            <v>0</v>
          </cell>
          <cell r="Y165" t="str">
            <v xml:space="preserve">       a.  Adult Foster Care</v>
          </cell>
          <cell r="Z165">
            <v>0</v>
          </cell>
          <cell r="AA165">
            <v>161.51</v>
          </cell>
          <cell r="AB165">
            <v>0</v>
          </cell>
          <cell r="AC165">
            <v>26.04</v>
          </cell>
          <cell r="AD165">
            <v>0</v>
          </cell>
          <cell r="AE165">
            <v>187.54999999999998</v>
          </cell>
          <cell r="AG165" t="str">
            <v xml:space="preserve">       a.  Adult Foster Care</v>
          </cell>
          <cell r="AH165">
            <v>0</v>
          </cell>
          <cell r="AI165">
            <v>12.9</v>
          </cell>
          <cell r="AJ165">
            <v>0</v>
          </cell>
          <cell r="AK165">
            <v>5.73</v>
          </cell>
          <cell r="AL165">
            <v>0</v>
          </cell>
          <cell r="AM165">
            <v>18.630000000000003</v>
          </cell>
          <cell r="AO165" t="str">
            <v xml:space="preserve">       a.  Adult Foster Care</v>
          </cell>
          <cell r="AP165">
            <v>0</v>
          </cell>
          <cell r="AQ165">
            <v>0</v>
          </cell>
          <cell r="AR165">
            <v>0</v>
          </cell>
          <cell r="AS165">
            <v>0</v>
          </cell>
          <cell r="AT165">
            <v>0</v>
          </cell>
          <cell r="AU165">
            <v>0</v>
          </cell>
          <cell r="AW165" t="str">
            <v xml:space="preserve">       a.  Adult Foster Care</v>
          </cell>
          <cell r="AX165">
            <v>0</v>
          </cell>
          <cell r="AY165">
            <v>4</v>
          </cell>
          <cell r="AZ165">
            <v>0</v>
          </cell>
          <cell r="BA165">
            <v>0</v>
          </cell>
          <cell r="BB165">
            <v>0</v>
          </cell>
          <cell r="BC165">
            <v>4</v>
          </cell>
        </row>
        <row r="166">
          <cell r="A166" t="str">
            <v xml:space="preserve">       b.  Assisted Living Home (Adult Care Home)</v>
          </cell>
          <cell r="B166">
            <v>0</v>
          </cell>
          <cell r="C166">
            <v>44.36</v>
          </cell>
          <cell r="D166">
            <v>0</v>
          </cell>
          <cell r="E166">
            <v>1.66</v>
          </cell>
          <cell r="F166">
            <v>0</v>
          </cell>
          <cell r="G166">
            <v>46.019999999999996</v>
          </cell>
          <cell r="I166" t="str">
            <v xml:space="preserve">       b.  Assisted Living Home (Adult Care Home)</v>
          </cell>
          <cell r="J166">
            <v>0</v>
          </cell>
          <cell r="K166">
            <v>19.060000000000002</v>
          </cell>
          <cell r="L166">
            <v>0</v>
          </cell>
          <cell r="M166">
            <v>4.7</v>
          </cell>
          <cell r="N166">
            <v>0</v>
          </cell>
          <cell r="O166">
            <v>23.76</v>
          </cell>
          <cell r="Q166" t="str">
            <v xml:space="preserve">       b.  Assisted Living Home (Adult Care Home)</v>
          </cell>
          <cell r="R166">
            <v>0</v>
          </cell>
          <cell r="S166">
            <v>0</v>
          </cell>
          <cell r="T166">
            <v>0</v>
          </cell>
          <cell r="U166">
            <v>0</v>
          </cell>
          <cell r="V166">
            <v>0</v>
          </cell>
          <cell r="W166">
            <v>0</v>
          </cell>
          <cell r="Y166" t="str">
            <v xml:space="preserve">       b.  Assisted Living Home (Adult Care Home)</v>
          </cell>
          <cell r="Z166">
            <v>0</v>
          </cell>
          <cell r="AA166">
            <v>1894.61</v>
          </cell>
          <cell r="AB166">
            <v>0</v>
          </cell>
          <cell r="AC166">
            <v>120.88</v>
          </cell>
          <cell r="AD166">
            <v>0</v>
          </cell>
          <cell r="AE166">
            <v>2015.4899999999998</v>
          </cell>
          <cell r="AG166" t="str">
            <v xml:space="preserve">       b.  Assisted Living Home (Adult Care Home)</v>
          </cell>
          <cell r="AH166">
            <v>0</v>
          </cell>
          <cell r="AI166">
            <v>30.16</v>
          </cell>
          <cell r="AJ166">
            <v>0</v>
          </cell>
          <cell r="AK166">
            <v>10.3</v>
          </cell>
          <cell r="AL166">
            <v>0</v>
          </cell>
          <cell r="AM166">
            <v>40.46</v>
          </cell>
          <cell r="AO166" t="str">
            <v xml:space="preserve">       b.  Assisted Living Home (Adult Care Home)</v>
          </cell>
          <cell r="AP166">
            <v>0</v>
          </cell>
          <cell r="AQ166">
            <v>84.77</v>
          </cell>
          <cell r="AR166">
            <v>0</v>
          </cell>
          <cell r="AS166">
            <v>12</v>
          </cell>
          <cell r="AT166">
            <v>0</v>
          </cell>
          <cell r="AU166">
            <v>96.77</v>
          </cell>
          <cell r="AW166" t="str">
            <v xml:space="preserve">       b.  Assisted Living Home (Adult Care Home)</v>
          </cell>
          <cell r="AX166">
            <v>0</v>
          </cell>
          <cell r="AY166">
            <v>114.64999999999999</v>
          </cell>
          <cell r="AZ166">
            <v>0</v>
          </cell>
          <cell r="BA166">
            <v>10.27</v>
          </cell>
          <cell r="BB166">
            <v>0</v>
          </cell>
          <cell r="BC166">
            <v>124.91999999999999</v>
          </cell>
        </row>
        <row r="167">
          <cell r="A167" t="str">
            <v xml:space="preserve">       c.  Group Home (DD)</v>
          </cell>
          <cell r="B167">
            <v>0</v>
          </cell>
          <cell r="C167">
            <v>0</v>
          </cell>
          <cell r="D167">
            <v>0</v>
          </cell>
          <cell r="E167">
            <v>0</v>
          </cell>
          <cell r="F167">
            <v>0</v>
          </cell>
          <cell r="G167">
            <v>0</v>
          </cell>
          <cell r="I167" t="str">
            <v xml:space="preserve">       c.  Group Home (DD)</v>
          </cell>
          <cell r="J167">
            <v>0</v>
          </cell>
          <cell r="K167">
            <v>0</v>
          </cell>
          <cell r="L167">
            <v>0</v>
          </cell>
          <cell r="M167">
            <v>0</v>
          </cell>
          <cell r="N167">
            <v>0</v>
          </cell>
          <cell r="O167">
            <v>0</v>
          </cell>
          <cell r="Q167" t="str">
            <v xml:space="preserve">       c.  Group Home (DD)</v>
          </cell>
          <cell r="R167">
            <v>0</v>
          </cell>
          <cell r="S167">
            <v>0</v>
          </cell>
          <cell r="T167">
            <v>0</v>
          </cell>
          <cell r="U167">
            <v>0</v>
          </cell>
          <cell r="V167">
            <v>0</v>
          </cell>
          <cell r="W167">
            <v>0</v>
          </cell>
          <cell r="Y167" t="str">
            <v xml:space="preserve">       c.  Group Home (DD)</v>
          </cell>
          <cell r="Z167">
            <v>0</v>
          </cell>
          <cell r="AA167">
            <v>4.0299999999999994</v>
          </cell>
          <cell r="AB167">
            <v>0</v>
          </cell>
          <cell r="AC167">
            <v>0</v>
          </cell>
          <cell r="AD167">
            <v>0</v>
          </cell>
          <cell r="AE167">
            <v>4.0299999999999994</v>
          </cell>
          <cell r="AG167" t="str">
            <v xml:space="preserve">       c.  Group Home (DD)</v>
          </cell>
          <cell r="AH167">
            <v>0</v>
          </cell>
          <cell r="AI167">
            <v>0</v>
          </cell>
          <cell r="AJ167">
            <v>0</v>
          </cell>
          <cell r="AK167">
            <v>0</v>
          </cell>
          <cell r="AL167">
            <v>0</v>
          </cell>
          <cell r="AM167">
            <v>0</v>
          </cell>
          <cell r="AO167" t="str">
            <v xml:space="preserve">       c.  Group Home (DD)</v>
          </cell>
          <cell r="AP167">
            <v>0</v>
          </cell>
          <cell r="AQ167">
            <v>0</v>
          </cell>
          <cell r="AR167">
            <v>0</v>
          </cell>
          <cell r="AS167">
            <v>0</v>
          </cell>
          <cell r="AT167">
            <v>0</v>
          </cell>
          <cell r="AU167">
            <v>0</v>
          </cell>
          <cell r="AW167" t="str">
            <v xml:space="preserve">       c.  Group Home (DD)</v>
          </cell>
          <cell r="AX167">
            <v>0</v>
          </cell>
          <cell r="AY167">
            <v>0</v>
          </cell>
          <cell r="AZ167">
            <v>0</v>
          </cell>
          <cell r="BA167">
            <v>0</v>
          </cell>
          <cell r="BB167">
            <v>0</v>
          </cell>
          <cell r="BC167">
            <v>0</v>
          </cell>
        </row>
        <row r="168">
          <cell r="A168" t="str">
            <v xml:space="preserve">       d.  Individual Home</v>
          </cell>
          <cell r="B168">
            <v>0</v>
          </cell>
          <cell r="C168">
            <v>79.72999999999999</v>
          </cell>
          <cell r="D168">
            <v>0</v>
          </cell>
          <cell r="E168">
            <v>36.950000000000003</v>
          </cell>
          <cell r="F168">
            <v>0</v>
          </cell>
          <cell r="G168">
            <v>116.67999999999999</v>
          </cell>
          <cell r="I168" t="str">
            <v xml:space="preserve">       d.  Individual Home</v>
          </cell>
          <cell r="J168">
            <v>0</v>
          </cell>
          <cell r="K168">
            <v>104.99</v>
          </cell>
          <cell r="L168">
            <v>0</v>
          </cell>
          <cell r="M168">
            <v>45.69</v>
          </cell>
          <cell r="N168">
            <v>0</v>
          </cell>
          <cell r="O168">
            <v>150.68</v>
          </cell>
          <cell r="Q168" t="str">
            <v xml:space="preserve">       d.  Individual Home</v>
          </cell>
          <cell r="R168">
            <v>0</v>
          </cell>
          <cell r="S168">
            <v>69.900000000000006</v>
          </cell>
          <cell r="T168">
            <v>0</v>
          </cell>
          <cell r="U168">
            <v>3</v>
          </cell>
          <cell r="V168">
            <v>0</v>
          </cell>
          <cell r="W168">
            <v>72.900000000000006</v>
          </cell>
          <cell r="Y168" t="str">
            <v xml:space="preserve">       d.  Individual Home</v>
          </cell>
          <cell r="Z168">
            <v>0</v>
          </cell>
          <cell r="AA168">
            <v>1965.87</v>
          </cell>
          <cell r="AB168">
            <v>0</v>
          </cell>
          <cell r="AC168">
            <v>726.05</v>
          </cell>
          <cell r="AD168">
            <v>0</v>
          </cell>
          <cell r="AE168">
            <v>2691.92</v>
          </cell>
          <cell r="AG168" t="str">
            <v xml:space="preserve">       d.  Individual Home</v>
          </cell>
          <cell r="AH168">
            <v>0</v>
          </cell>
          <cell r="AI168">
            <v>534.37</v>
          </cell>
          <cell r="AJ168">
            <v>0</v>
          </cell>
          <cell r="AK168">
            <v>126.09</v>
          </cell>
          <cell r="AL168">
            <v>0</v>
          </cell>
          <cell r="AM168">
            <v>660.46</v>
          </cell>
          <cell r="AO168" t="str">
            <v xml:space="preserve">       d.  Individual Home</v>
          </cell>
          <cell r="AP168">
            <v>0</v>
          </cell>
          <cell r="AQ168">
            <v>196.08</v>
          </cell>
          <cell r="AR168">
            <v>0</v>
          </cell>
          <cell r="AS168">
            <v>78.42</v>
          </cell>
          <cell r="AT168">
            <v>0</v>
          </cell>
          <cell r="AU168">
            <v>274.5</v>
          </cell>
          <cell r="AW168" t="str">
            <v xml:space="preserve">       d.  Individual Home</v>
          </cell>
          <cell r="AX168">
            <v>0</v>
          </cell>
          <cell r="AY168">
            <v>336.13</v>
          </cell>
          <cell r="AZ168">
            <v>0</v>
          </cell>
          <cell r="BA168">
            <v>124.83999999999999</v>
          </cell>
          <cell r="BB168">
            <v>0</v>
          </cell>
          <cell r="BC168">
            <v>460.96999999999997</v>
          </cell>
        </row>
        <row r="169">
          <cell r="A169" t="str">
            <v xml:space="preserve">       e.  Assisted Living Centers (SRL)</v>
          </cell>
          <cell r="B169">
            <v>0</v>
          </cell>
          <cell r="C169">
            <v>3.3200000000000003</v>
          </cell>
          <cell r="D169">
            <v>0</v>
          </cell>
          <cell r="E169">
            <v>3</v>
          </cell>
          <cell r="F169">
            <v>0</v>
          </cell>
          <cell r="G169">
            <v>6.32</v>
          </cell>
          <cell r="I169" t="str">
            <v xml:space="preserve">       e.  Assisted Living Centers (SRL)</v>
          </cell>
          <cell r="J169">
            <v>0</v>
          </cell>
          <cell r="K169">
            <v>144.38999999999999</v>
          </cell>
          <cell r="L169">
            <v>0</v>
          </cell>
          <cell r="M169">
            <v>8.17</v>
          </cell>
          <cell r="N169">
            <v>0</v>
          </cell>
          <cell r="O169">
            <v>152.55999999999997</v>
          </cell>
          <cell r="Q169" t="str">
            <v xml:space="preserve">       e.  Assisted Living Centers (SRL)</v>
          </cell>
          <cell r="R169">
            <v>0</v>
          </cell>
          <cell r="S169">
            <v>8.65</v>
          </cell>
          <cell r="T169">
            <v>0</v>
          </cell>
          <cell r="U169">
            <v>0</v>
          </cell>
          <cell r="V169">
            <v>0</v>
          </cell>
          <cell r="W169">
            <v>8.65</v>
          </cell>
          <cell r="Y169" t="str">
            <v xml:space="preserve">       e.  Assisted Living Centers (SRL)</v>
          </cell>
          <cell r="Z169">
            <v>0</v>
          </cell>
          <cell r="AA169">
            <v>2157.25</v>
          </cell>
          <cell r="AB169">
            <v>0</v>
          </cell>
          <cell r="AC169">
            <v>134.42000000000002</v>
          </cell>
          <cell r="AD169">
            <v>0</v>
          </cell>
          <cell r="AE169">
            <v>2291.67</v>
          </cell>
          <cell r="AG169" t="str">
            <v xml:space="preserve">       e.  Assisted Living Centers (SRL)</v>
          </cell>
          <cell r="AH169">
            <v>0</v>
          </cell>
          <cell r="AI169">
            <v>365.73</v>
          </cell>
          <cell r="AJ169">
            <v>0</v>
          </cell>
          <cell r="AK169">
            <v>51.73</v>
          </cell>
          <cell r="AL169">
            <v>0</v>
          </cell>
          <cell r="AM169">
            <v>417.46000000000004</v>
          </cell>
          <cell r="AO169" t="str">
            <v xml:space="preserve">       e.  Assisted Living Centers (SRL)</v>
          </cell>
          <cell r="AP169">
            <v>0</v>
          </cell>
          <cell r="AQ169">
            <v>57.95</v>
          </cell>
          <cell r="AR169">
            <v>0</v>
          </cell>
          <cell r="AS169">
            <v>9.8000000000000007</v>
          </cell>
          <cell r="AT169">
            <v>0</v>
          </cell>
          <cell r="AU169">
            <v>67.75</v>
          </cell>
          <cell r="AW169" t="str">
            <v xml:space="preserve">       e.  Assisted Living Centers (SRL)</v>
          </cell>
          <cell r="AX169">
            <v>0</v>
          </cell>
          <cell r="AY169">
            <v>144.34</v>
          </cell>
          <cell r="AZ169">
            <v>0</v>
          </cell>
          <cell r="BA169">
            <v>16.86</v>
          </cell>
          <cell r="BB169">
            <v>0</v>
          </cell>
          <cell r="BC169">
            <v>161.19999999999999</v>
          </cell>
        </row>
        <row r="170">
          <cell r="A170" t="str">
            <v xml:space="preserve">       f.  Other (Hospice)</v>
          </cell>
          <cell r="B170">
            <v>0</v>
          </cell>
          <cell r="C170">
            <v>17.420000000000002</v>
          </cell>
          <cell r="D170">
            <v>0</v>
          </cell>
          <cell r="E170">
            <v>0</v>
          </cell>
          <cell r="F170">
            <v>0</v>
          </cell>
          <cell r="G170">
            <v>17.420000000000002</v>
          </cell>
          <cell r="I170" t="str">
            <v xml:space="preserve">       f.  Other (Hospice)</v>
          </cell>
          <cell r="J170">
            <v>0</v>
          </cell>
          <cell r="K170">
            <v>1.9100000000000001</v>
          </cell>
          <cell r="L170">
            <v>0</v>
          </cell>
          <cell r="M170">
            <v>0</v>
          </cell>
          <cell r="N170">
            <v>0</v>
          </cell>
          <cell r="O170">
            <v>1.9100000000000001</v>
          </cell>
          <cell r="Q170" t="str">
            <v xml:space="preserve">       f.  Other (Hospice)</v>
          </cell>
          <cell r="R170">
            <v>0</v>
          </cell>
          <cell r="S170">
            <v>0</v>
          </cell>
          <cell r="T170">
            <v>0</v>
          </cell>
          <cell r="U170">
            <v>3</v>
          </cell>
          <cell r="V170">
            <v>0</v>
          </cell>
          <cell r="W170">
            <v>3</v>
          </cell>
          <cell r="Y170" t="str">
            <v xml:space="preserve">       f.  Other (Hospice)</v>
          </cell>
          <cell r="Z170">
            <v>0</v>
          </cell>
          <cell r="AA170">
            <v>287.98</v>
          </cell>
          <cell r="AB170">
            <v>0</v>
          </cell>
          <cell r="AC170">
            <v>6.83</v>
          </cell>
          <cell r="AD170">
            <v>0</v>
          </cell>
          <cell r="AE170">
            <v>294.81</v>
          </cell>
          <cell r="AG170" t="str">
            <v xml:space="preserve">       f.  Other (Hospice)</v>
          </cell>
          <cell r="AH170">
            <v>0</v>
          </cell>
          <cell r="AI170">
            <v>4.0600000000000005</v>
          </cell>
          <cell r="AJ170">
            <v>0</v>
          </cell>
          <cell r="AK170">
            <v>0</v>
          </cell>
          <cell r="AL170">
            <v>0</v>
          </cell>
          <cell r="AM170">
            <v>4.0600000000000005</v>
          </cell>
          <cell r="AO170" t="str">
            <v xml:space="preserve">       f.  Other (Hospice)</v>
          </cell>
          <cell r="AP170">
            <v>0</v>
          </cell>
          <cell r="AQ170">
            <v>16.420000000000002</v>
          </cell>
          <cell r="AR170">
            <v>0</v>
          </cell>
          <cell r="AS170">
            <v>6.49</v>
          </cell>
          <cell r="AT170">
            <v>0</v>
          </cell>
          <cell r="AU170">
            <v>22.910000000000004</v>
          </cell>
          <cell r="AW170" t="str">
            <v xml:space="preserve">       f.  Other (Hospice)</v>
          </cell>
          <cell r="AX170">
            <v>0</v>
          </cell>
          <cell r="AY170">
            <v>25.36</v>
          </cell>
          <cell r="AZ170">
            <v>0</v>
          </cell>
          <cell r="BA170">
            <v>1.9</v>
          </cell>
          <cell r="BB170">
            <v>0</v>
          </cell>
          <cell r="BC170">
            <v>27.259999999999998</v>
          </cell>
        </row>
        <row r="171">
          <cell r="A171" t="str">
            <v xml:space="preserve">       g.  Attendant Care</v>
          </cell>
          <cell r="B171">
            <v>0</v>
          </cell>
          <cell r="C171">
            <v>48.48</v>
          </cell>
          <cell r="D171">
            <v>0</v>
          </cell>
          <cell r="E171">
            <v>9</v>
          </cell>
          <cell r="F171">
            <v>0</v>
          </cell>
          <cell r="G171">
            <v>57.48</v>
          </cell>
          <cell r="I171" t="str">
            <v xml:space="preserve">       g.  Attendant Care</v>
          </cell>
          <cell r="J171">
            <v>0</v>
          </cell>
          <cell r="K171">
            <v>68.13</v>
          </cell>
          <cell r="L171">
            <v>0</v>
          </cell>
          <cell r="M171">
            <v>28.619999999999997</v>
          </cell>
          <cell r="N171">
            <v>0</v>
          </cell>
          <cell r="O171">
            <v>96.75</v>
          </cell>
          <cell r="Q171" t="str">
            <v xml:space="preserve">       g.  Attendant Care</v>
          </cell>
          <cell r="R171">
            <v>0</v>
          </cell>
          <cell r="S171">
            <v>17</v>
          </cell>
          <cell r="T171">
            <v>0</v>
          </cell>
          <cell r="U171">
            <v>8.07</v>
          </cell>
          <cell r="V171">
            <v>0</v>
          </cell>
          <cell r="W171">
            <v>25.07</v>
          </cell>
          <cell r="Y171" t="str">
            <v xml:space="preserve">       g.  Attendant Care</v>
          </cell>
          <cell r="Z171">
            <v>0</v>
          </cell>
          <cell r="AA171">
            <v>2083.3200000000002</v>
          </cell>
          <cell r="AB171">
            <v>0</v>
          </cell>
          <cell r="AC171">
            <v>496.35</v>
          </cell>
          <cell r="AD171">
            <v>0</v>
          </cell>
          <cell r="AE171">
            <v>2579.67</v>
          </cell>
          <cell r="AG171" t="str">
            <v xml:space="preserve">       g.  Attendant Care</v>
          </cell>
          <cell r="AH171">
            <v>0</v>
          </cell>
          <cell r="AI171">
            <v>378.56</v>
          </cell>
          <cell r="AJ171">
            <v>0</v>
          </cell>
          <cell r="AK171">
            <v>57.490000000000009</v>
          </cell>
          <cell r="AL171">
            <v>0</v>
          </cell>
          <cell r="AM171">
            <v>436.05</v>
          </cell>
          <cell r="AO171" t="str">
            <v xml:space="preserve">       g.  Attendant Care</v>
          </cell>
          <cell r="AP171">
            <v>0</v>
          </cell>
          <cell r="AQ171">
            <v>124.47</v>
          </cell>
          <cell r="AR171">
            <v>0</v>
          </cell>
          <cell r="AS171">
            <v>29</v>
          </cell>
          <cell r="AT171">
            <v>0</v>
          </cell>
          <cell r="AU171">
            <v>153.47</v>
          </cell>
          <cell r="AW171" t="str">
            <v xml:space="preserve">       g.  Attendant Care</v>
          </cell>
          <cell r="AX171">
            <v>0</v>
          </cell>
          <cell r="AY171">
            <v>397.32000000000005</v>
          </cell>
          <cell r="AZ171">
            <v>0</v>
          </cell>
          <cell r="BA171">
            <v>105.08000000000001</v>
          </cell>
          <cell r="BB171">
            <v>0</v>
          </cell>
          <cell r="BC171">
            <v>502.40000000000009</v>
          </cell>
        </row>
        <row r="172">
          <cell r="A172" t="str">
            <v xml:space="preserve">   8.  Acute Care</v>
          </cell>
          <cell r="B172">
            <v>0</v>
          </cell>
          <cell r="C172">
            <v>3.2</v>
          </cell>
          <cell r="D172">
            <v>0</v>
          </cell>
          <cell r="E172">
            <v>0</v>
          </cell>
          <cell r="F172">
            <v>0</v>
          </cell>
          <cell r="G172">
            <v>3.2</v>
          </cell>
          <cell r="I172" t="str">
            <v xml:space="preserve">   8.  Acute Care</v>
          </cell>
          <cell r="J172">
            <v>0</v>
          </cell>
          <cell r="K172">
            <v>11</v>
          </cell>
          <cell r="L172">
            <v>0</v>
          </cell>
          <cell r="M172">
            <v>6.0299999999999994</v>
          </cell>
          <cell r="N172">
            <v>0</v>
          </cell>
          <cell r="O172">
            <v>17.03</v>
          </cell>
          <cell r="Q172" t="str">
            <v xml:space="preserve">   8.  Acute Care</v>
          </cell>
          <cell r="R172">
            <v>0</v>
          </cell>
          <cell r="S172">
            <v>7.5299999999999994</v>
          </cell>
          <cell r="T172">
            <v>0</v>
          </cell>
          <cell r="U172">
            <v>0</v>
          </cell>
          <cell r="V172">
            <v>0</v>
          </cell>
          <cell r="W172">
            <v>7.5299999999999994</v>
          </cell>
          <cell r="Y172" t="str">
            <v xml:space="preserve">   8.  Acute Care</v>
          </cell>
          <cell r="Z172">
            <v>0</v>
          </cell>
          <cell r="AA172">
            <v>114.88</v>
          </cell>
          <cell r="AB172">
            <v>0</v>
          </cell>
          <cell r="AC172">
            <v>85.009999999999991</v>
          </cell>
          <cell r="AD172">
            <v>0</v>
          </cell>
          <cell r="AE172">
            <v>199.89</v>
          </cell>
          <cell r="AG172" t="str">
            <v xml:space="preserve">   8.  Acute Care</v>
          </cell>
          <cell r="AH172">
            <v>0</v>
          </cell>
          <cell r="AI172">
            <v>6.9</v>
          </cell>
          <cell r="AJ172">
            <v>0</v>
          </cell>
          <cell r="AK172">
            <v>0</v>
          </cell>
          <cell r="AL172">
            <v>0</v>
          </cell>
          <cell r="AM172">
            <v>6.9</v>
          </cell>
          <cell r="AO172" t="str">
            <v xml:space="preserve">   8.  Acute Care</v>
          </cell>
          <cell r="AP172">
            <v>0</v>
          </cell>
          <cell r="AQ172">
            <v>4.57</v>
          </cell>
          <cell r="AR172">
            <v>0</v>
          </cell>
          <cell r="AS172">
            <v>0</v>
          </cell>
          <cell r="AT172">
            <v>0</v>
          </cell>
          <cell r="AU172">
            <v>4.57</v>
          </cell>
          <cell r="AW172" t="str">
            <v xml:space="preserve">   8.  Acute Care</v>
          </cell>
          <cell r="AX172">
            <v>0</v>
          </cell>
          <cell r="AY172">
            <v>5</v>
          </cell>
          <cell r="AZ172">
            <v>0</v>
          </cell>
          <cell r="BA172">
            <v>5</v>
          </cell>
          <cell r="BB172">
            <v>0</v>
          </cell>
          <cell r="BC172">
            <v>10</v>
          </cell>
        </row>
        <row r="173">
          <cell r="A173" t="str">
            <v xml:space="preserve">   9.  Ventilator</v>
          </cell>
          <cell r="B173">
            <v>0</v>
          </cell>
          <cell r="C173">
            <v>0</v>
          </cell>
          <cell r="D173">
            <v>0</v>
          </cell>
          <cell r="E173">
            <v>0</v>
          </cell>
          <cell r="F173">
            <v>0</v>
          </cell>
          <cell r="G173">
            <v>0</v>
          </cell>
          <cell r="I173" t="str">
            <v xml:space="preserve">   9.  Ventilator</v>
          </cell>
          <cell r="J173">
            <v>0</v>
          </cell>
          <cell r="K173">
            <v>0</v>
          </cell>
          <cell r="L173">
            <v>0</v>
          </cell>
          <cell r="M173">
            <v>3</v>
          </cell>
          <cell r="N173">
            <v>0</v>
          </cell>
          <cell r="O173">
            <v>3</v>
          </cell>
          <cell r="Q173" t="str">
            <v xml:space="preserve">   9.  Ventilator</v>
          </cell>
          <cell r="R173">
            <v>0</v>
          </cell>
          <cell r="S173">
            <v>0</v>
          </cell>
          <cell r="T173">
            <v>0</v>
          </cell>
          <cell r="U173">
            <v>0</v>
          </cell>
          <cell r="V173">
            <v>0</v>
          </cell>
          <cell r="W173">
            <v>0</v>
          </cell>
          <cell r="Y173" t="str">
            <v xml:space="preserve">   9.  Ventilator</v>
          </cell>
          <cell r="Z173">
            <v>0</v>
          </cell>
          <cell r="AA173">
            <v>64.25</v>
          </cell>
          <cell r="AB173">
            <v>0</v>
          </cell>
          <cell r="AC173">
            <v>56.510000000000005</v>
          </cell>
          <cell r="AD173">
            <v>0</v>
          </cell>
          <cell r="AE173">
            <v>120.76</v>
          </cell>
          <cell r="AG173" t="str">
            <v xml:space="preserve">   9.  Ventilator</v>
          </cell>
          <cell r="AH173">
            <v>0</v>
          </cell>
          <cell r="AI173">
            <v>4</v>
          </cell>
          <cell r="AJ173">
            <v>0</v>
          </cell>
          <cell r="AK173">
            <v>0</v>
          </cell>
          <cell r="AL173">
            <v>0</v>
          </cell>
          <cell r="AM173">
            <v>4</v>
          </cell>
          <cell r="AO173" t="str">
            <v xml:space="preserve">   9.  Ventilator</v>
          </cell>
          <cell r="AP173">
            <v>0</v>
          </cell>
          <cell r="AQ173">
            <v>4</v>
          </cell>
          <cell r="AR173">
            <v>0</v>
          </cell>
          <cell r="AS173">
            <v>3</v>
          </cell>
          <cell r="AT173">
            <v>0</v>
          </cell>
          <cell r="AU173">
            <v>7</v>
          </cell>
          <cell r="AW173" t="str">
            <v xml:space="preserve">   9.  Ventilator</v>
          </cell>
          <cell r="AX173">
            <v>0</v>
          </cell>
          <cell r="AY173">
            <v>0</v>
          </cell>
          <cell r="AZ173">
            <v>0</v>
          </cell>
          <cell r="BA173">
            <v>3</v>
          </cell>
          <cell r="BB173">
            <v>0</v>
          </cell>
          <cell r="BC173">
            <v>3</v>
          </cell>
        </row>
        <row r="174">
          <cell r="A174" t="str">
            <v xml:space="preserve">  10.  Prior Period</v>
          </cell>
          <cell r="B174">
            <v>0</v>
          </cell>
          <cell r="C174">
            <v>1.9666999999999999</v>
          </cell>
          <cell r="D174">
            <v>0</v>
          </cell>
          <cell r="E174">
            <v>0</v>
          </cell>
          <cell r="F174">
            <v>0</v>
          </cell>
          <cell r="G174">
            <v>1.9666999999999999</v>
          </cell>
          <cell r="I174" t="str">
            <v xml:space="preserve">  10.  Prior Period</v>
          </cell>
          <cell r="J174">
            <v>0</v>
          </cell>
          <cell r="K174">
            <v>16.677399999999999</v>
          </cell>
          <cell r="L174">
            <v>0</v>
          </cell>
          <cell r="M174">
            <v>4.9333</v>
          </cell>
          <cell r="N174">
            <v>0</v>
          </cell>
          <cell r="O174">
            <v>21.610699999999998</v>
          </cell>
          <cell r="Q174" t="str">
            <v xml:space="preserve">  10.  Prior Period</v>
          </cell>
          <cell r="R174">
            <v>0</v>
          </cell>
          <cell r="S174">
            <v>19.161200000000001</v>
          </cell>
          <cell r="T174">
            <v>0</v>
          </cell>
          <cell r="U174">
            <v>0</v>
          </cell>
          <cell r="V174">
            <v>0</v>
          </cell>
          <cell r="W174">
            <v>19.161200000000001</v>
          </cell>
          <cell r="Y174" t="str">
            <v xml:space="preserve">  10.  Prior Period</v>
          </cell>
          <cell r="Z174">
            <v>0</v>
          </cell>
          <cell r="AA174">
            <v>506.45180000000005</v>
          </cell>
          <cell r="AB174">
            <v>0</v>
          </cell>
          <cell r="AC174">
            <v>36.459099999999999</v>
          </cell>
          <cell r="AD174">
            <v>0</v>
          </cell>
          <cell r="AE174">
            <v>542.91090000000008</v>
          </cell>
          <cell r="AG174" t="str">
            <v xml:space="preserve">  10.  Prior Period</v>
          </cell>
          <cell r="AH174">
            <v>0</v>
          </cell>
          <cell r="AI174">
            <v>80.073099999999997</v>
          </cell>
          <cell r="AJ174">
            <v>0</v>
          </cell>
          <cell r="AK174">
            <v>9.0333000000000006</v>
          </cell>
          <cell r="AL174">
            <v>0</v>
          </cell>
          <cell r="AM174">
            <v>89.106399999999994</v>
          </cell>
          <cell r="AO174" t="str">
            <v xml:space="preserve">  10.  Prior Period</v>
          </cell>
          <cell r="AP174">
            <v>0</v>
          </cell>
          <cell r="AQ174">
            <v>21.099999999999998</v>
          </cell>
          <cell r="AR174">
            <v>0</v>
          </cell>
          <cell r="AS174">
            <v>3.2300000000000002E-2</v>
          </cell>
          <cell r="AT174">
            <v>0</v>
          </cell>
          <cell r="AU174">
            <v>21.132299999999997</v>
          </cell>
          <cell r="AW174" t="str">
            <v xml:space="preserve">  10.  Prior Period</v>
          </cell>
          <cell r="AX174">
            <v>0</v>
          </cell>
          <cell r="AY174">
            <v>39.611800000000002</v>
          </cell>
          <cell r="AZ174">
            <v>0</v>
          </cell>
          <cell r="BA174">
            <v>0</v>
          </cell>
          <cell r="BB174">
            <v>0</v>
          </cell>
          <cell r="BC174">
            <v>39.611800000000002</v>
          </cell>
        </row>
        <row r="175">
          <cell r="A175" t="str">
            <v xml:space="preserve">  11.  Other - Not Placed</v>
          </cell>
          <cell r="B175">
            <v>0</v>
          </cell>
          <cell r="C175">
            <v>-23.29</v>
          </cell>
          <cell r="D175">
            <v>0</v>
          </cell>
          <cell r="E175">
            <v>-7</v>
          </cell>
          <cell r="F175">
            <v>0</v>
          </cell>
          <cell r="G175">
            <v>-30.29</v>
          </cell>
          <cell r="I175" t="str">
            <v xml:space="preserve">  11.  Other - Not Placed</v>
          </cell>
          <cell r="J175">
            <v>0</v>
          </cell>
          <cell r="K175">
            <v>-42.91</v>
          </cell>
          <cell r="L175">
            <v>0</v>
          </cell>
          <cell r="M175">
            <v>-4.43</v>
          </cell>
          <cell r="N175">
            <v>0</v>
          </cell>
          <cell r="O175">
            <v>-47.339999999999996</v>
          </cell>
          <cell r="Q175" t="str">
            <v xml:space="preserve">  11.  Other - Not Placed</v>
          </cell>
          <cell r="R175">
            <v>0</v>
          </cell>
          <cell r="S175">
            <v>-22.83</v>
          </cell>
          <cell r="T175">
            <v>0</v>
          </cell>
          <cell r="U175">
            <v>0</v>
          </cell>
          <cell r="V175">
            <v>0</v>
          </cell>
          <cell r="W175">
            <v>-22.83</v>
          </cell>
          <cell r="Y175" t="str">
            <v xml:space="preserve">  11.  Other - Not Placed</v>
          </cell>
          <cell r="Z175">
            <v>0</v>
          </cell>
          <cell r="AA175">
            <v>-1251.3499999999979</v>
          </cell>
          <cell r="AB175">
            <v>0</v>
          </cell>
          <cell r="AC175">
            <v>-184.51999999999998</v>
          </cell>
          <cell r="AD175">
            <v>0</v>
          </cell>
          <cell r="AE175">
            <v>-1435.8699999999978</v>
          </cell>
          <cell r="AG175" t="str">
            <v xml:space="preserve">  11.  Other - Not Placed</v>
          </cell>
          <cell r="AH175">
            <v>0</v>
          </cell>
          <cell r="AI175">
            <v>-294.55</v>
          </cell>
          <cell r="AJ175">
            <v>0</v>
          </cell>
          <cell r="AK175">
            <v>-14.290000000000001</v>
          </cell>
          <cell r="AL175">
            <v>0</v>
          </cell>
          <cell r="AM175">
            <v>-308.84000000000003</v>
          </cell>
          <cell r="AO175" t="str">
            <v xml:space="preserve">  11.  Other - Not Placed</v>
          </cell>
          <cell r="AP175">
            <v>0</v>
          </cell>
          <cell r="AQ175">
            <v>-31.769999999999996</v>
          </cell>
          <cell r="AR175">
            <v>0</v>
          </cell>
          <cell r="AS175">
            <v>-18.259999999999998</v>
          </cell>
          <cell r="AT175">
            <v>0</v>
          </cell>
          <cell r="AU175">
            <v>-50.029999999999994</v>
          </cell>
          <cell r="AW175" t="str">
            <v xml:space="preserve">  11.  Other - Not Placed</v>
          </cell>
          <cell r="AX175">
            <v>0</v>
          </cell>
          <cell r="AY175">
            <v>-270.71000000000004</v>
          </cell>
          <cell r="AZ175">
            <v>0</v>
          </cell>
          <cell r="BA175">
            <v>-48.54</v>
          </cell>
          <cell r="BB175">
            <v>0</v>
          </cell>
          <cell r="BC175">
            <v>-319.25000000000006</v>
          </cell>
        </row>
        <row r="177">
          <cell r="A177" t="str">
            <v>C.   Acute Patient Day Information</v>
          </cell>
          <cell r="I177" t="str">
            <v>C.   Acute Patient Day Information</v>
          </cell>
          <cell r="Q177" t="str">
            <v>C.   Acute Patient Day Information</v>
          </cell>
          <cell r="Y177" t="str">
            <v>C.   Acute Patient Day Information</v>
          </cell>
          <cell r="AG177" t="str">
            <v>C.   Acute Patient Day Information</v>
          </cell>
          <cell r="AO177" t="str">
            <v>C.   Acute Patient Day Information</v>
          </cell>
          <cell r="AW177" t="str">
            <v>C.   Acute Patient Day Information</v>
          </cell>
        </row>
        <row r="178">
          <cell r="A178" t="str">
            <v xml:space="preserve">       a.  Admissions</v>
          </cell>
          <cell r="B178">
            <v>0</v>
          </cell>
          <cell r="C178">
            <v>16</v>
          </cell>
          <cell r="D178">
            <v>0</v>
          </cell>
          <cell r="E178">
            <v>2</v>
          </cell>
          <cell r="F178">
            <v>0</v>
          </cell>
          <cell r="G178">
            <v>18</v>
          </cell>
          <cell r="I178" t="str">
            <v xml:space="preserve">       a.  Admissions</v>
          </cell>
          <cell r="J178">
            <v>0</v>
          </cell>
          <cell r="K178">
            <v>28</v>
          </cell>
          <cell r="L178">
            <v>0</v>
          </cell>
          <cell r="M178">
            <v>10</v>
          </cell>
          <cell r="N178">
            <v>0</v>
          </cell>
          <cell r="O178">
            <v>38</v>
          </cell>
          <cell r="Q178" t="str">
            <v xml:space="preserve">       a.  Admissions</v>
          </cell>
          <cell r="R178">
            <v>0</v>
          </cell>
          <cell r="S178">
            <v>17</v>
          </cell>
          <cell r="T178">
            <v>0</v>
          </cell>
          <cell r="U178">
            <v>2</v>
          </cell>
          <cell r="V178">
            <v>0</v>
          </cell>
          <cell r="W178">
            <v>19</v>
          </cell>
          <cell r="Y178" t="str">
            <v xml:space="preserve">       a.  Admissions</v>
          </cell>
          <cell r="Z178">
            <v>0</v>
          </cell>
          <cell r="AA178">
            <v>789</v>
          </cell>
          <cell r="AB178">
            <v>0</v>
          </cell>
          <cell r="AC178">
            <v>142</v>
          </cell>
          <cell r="AD178">
            <v>0</v>
          </cell>
          <cell r="AE178">
            <v>931</v>
          </cell>
          <cell r="AG178" t="str">
            <v xml:space="preserve">       a.  Admissions</v>
          </cell>
          <cell r="AH178">
            <v>0</v>
          </cell>
          <cell r="AI178">
            <v>125</v>
          </cell>
          <cell r="AJ178">
            <v>0</v>
          </cell>
          <cell r="AK178">
            <v>34</v>
          </cell>
          <cell r="AL178">
            <v>0</v>
          </cell>
          <cell r="AM178">
            <v>159</v>
          </cell>
          <cell r="AO178" t="str">
            <v xml:space="preserve">       a.  Admissions</v>
          </cell>
          <cell r="AP178">
            <v>0</v>
          </cell>
          <cell r="AQ178">
            <v>34</v>
          </cell>
          <cell r="AR178">
            <v>0</v>
          </cell>
          <cell r="AS178">
            <v>7</v>
          </cell>
          <cell r="AT178">
            <v>0</v>
          </cell>
          <cell r="AU178">
            <v>41</v>
          </cell>
          <cell r="AW178" t="str">
            <v xml:space="preserve">       a.  Admissions</v>
          </cell>
          <cell r="AX178">
            <v>0</v>
          </cell>
          <cell r="AY178">
            <v>112</v>
          </cell>
          <cell r="AZ178">
            <v>0</v>
          </cell>
          <cell r="BA178">
            <v>14</v>
          </cell>
          <cell r="BB178">
            <v>0</v>
          </cell>
          <cell r="BC178">
            <v>126</v>
          </cell>
        </row>
        <row r="179">
          <cell r="A179" t="str">
            <v xml:space="preserve">       b.  Patient Days</v>
          </cell>
          <cell r="B179">
            <v>0</v>
          </cell>
          <cell r="C179">
            <v>76</v>
          </cell>
          <cell r="D179">
            <v>0</v>
          </cell>
          <cell r="E179">
            <v>11</v>
          </cell>
          <cell r="F179">
            <v>0</v>
          </cell>
          <cell r="G179">
            <v>87</v>
          </cell>
          <cell r="I179" t="str">
            <v xml:space="preserve">       b.  Patient Days</v>
          </cell>
          <cell r="J179">
            <v>0</v>
          </cell>
          <cell r="K179">
            <v>170</v>
          </cell>
          <cell r="L179">
            <v>0</v>
          </cell>
          <cell r="M179">
            <v>63</v>
          </cell>
          <cell r="N179">
            <v>0</v>
          </cell>
          <cell r="O179">
            <v>233</v>
          </cell>
          <cell r="Q179" t="str">
            <v xml:space="preserve">       b.  Patient Days</v>
          </cell>
          <cell r="R179">
            <v>0</v>
          </cell>
          <cell r="S179">
            <v>95</v>
          </cell>
          <cell r="T179">
            <v>0</v>
          </cell>
          <cell r="U179">
            <v>6</v>
          </cell>
          <cell r="V179">
            <v>0</v>
          </cell>
          <cell r="W179">
            <v>101</v>
          </cell>
          <cell r="Y179" t="str">
            <v xml:space="preserve">       b.  Patient Days</v>
          </cell>
          <cell r="Z179">
            <v>0</v>
          </cell>
          <cell r="AA179">
            <v>4179</v>
          </cell>
          <cell r="AB179">
            <v>0</v>
          </cell>
          <cell r="AC179">
            <v>826</v>
          </cell>
          <cell r="AD179">
            <v>0</v>
          </cell>
          <cell r="AE179">
            <v>5005</v>
          </cell>
          <cell r="AG179" t="str">
            <v xml:space="preserve">       b.  Patient Days</v>
          </cell>
          <cell r="AH179">
            <v>0</v>
          </cell>
          <cell r="AI179">
            <v>727</v>
          </cell>
          <cell r="AJ179">
            <v>0</v>
          </cell>
          <cell r="AK179">
            <v>221</v>
          </cell>
          <cell r="AL179">
            <v>0</v>
          </cell>
          <cell r="AM179">
            <v>948</v>
          </cell>
          <cell r="AO179" t="str">
            <v xml:space="preserve">       b.  Patient Days</v>
          </cell>
          <cell r="AP179">
            <v>0</v>
          </cell>
          <cell r="AQ179">
            <v>165</v>
          </cell>
          <cell r="AR179">
            <v>0</v>
          </cell>
          <cell r="AS179">
            <v>52</v>
          </cell>
          <cell r="AT179">
            <v>0</v>
          </cell>
          <cell r="AU179">
            <v>217</v>
          </cell>
          <cell r="AW179" t="str">
            <v xml:space="preserve">       b.  Patient Days</v>
          </cell>
          <cell r="AX179">
            <v>0</v>
          </cell>
          <cell r="AY179">
            <v>682</v>
          </cell>
          <cell r="AZ179">
            <v>0</v>
          </cell>
          <cell r="BA179">
            <v>52</v>
          </cell>
          <cell r="BB179">
            <v>0</v>
          </cell>
          <cell r="BC179">
            <v>734</v>
          </cell>
        </row>
        <row r="180">
          <cell r="A180" t="str">
            <v xml:space="preserve">       c.  Discharges</v>
          </cell>
          <cell r="B180">
            <v>0</v>
          </cell>
          <cell r="C180">
            <v>18</v>
          </cell>
          <cell r="D180">
            <v>0</v>
          </cell>
          <cell r="E180">
            <v>2</v>
          </cell>
          <cell r="F180">
            <v>0</v>
          </cell>
          <cell r="G180">
            <v>20</v>
          </cell>
          <cell r="I180" t="str">
            <v xml:space="preserve">       c.  Discharges</v>
          </cell>
          <cell r="J180">
            <v>0</v>
          </cell>
          <cell r="K180">
            <v>26</v>
          </cell>
          <cell r="L180">
            <v>0</v>
          </cell>
          <cell r="M180">
            <v>10</v>
          </cell>
          <cell r="N180">
            <v>0</v>
          </cell>
          <cell r="O180">
            <v>36</v>
          </cell>
          <cell r="Q180" t="str">
            <v xml:space="preserve">       c.  Discharges</v>
          </cell>
          <cell r="R180">
            <v>0</v>
          </cell>
          <cell r="S180">
            <v>13</v>
          </cell>
          <cell r="T180">
            <v>0</v>
          </cell>
          <cell r="U180">
            <v>2</v>
          </cell>
          <cell r="V180">
            <v>0</v>
          </cell>
          <cell r="W180">
            <v>15</v>
          </cell>
          <cell r="Y180" t="str">
            <v xml:space="preserve">       c.  Discharges</v>
          </cell>
          <cell r="Z180">
            <v>0</v>
          </cell>
          <cell r="AA180">
            <v>749</v>
          </cell>
          <cell r="AB180">
            <v>0</v>
          </cell>
          <cell r="AC180">
            <v>136</v>
          </cell>
          <cell r="AD180">
            <v>0</v>
          </cell>
          <cell r="AE180">
            <v>885</v>
          </cell>
          <cell r="AG180" t="str">
            <v xml:space="preserve">       c.  Discharges</v>
          </cell>
          <cell r="AH180">
            <v>0</v>
          </cell>
          <cell r="AI180">
            <v>119</v>
          </cell>
          <cell r="AJ180">
            <v>0</v>
          </cell>
          <cell r="AK180">
            <v>28</v>
          </cell>
          <cell r="AL180">
            <v>0</v>
          </cell>
          <cell r="AM180">
            <v>147</v>
          </cell>
          <cell r="AO180" t="str">
            <v xml:space="preserve">       c.  Discharges</v>
          </cell>
          <cell r="AP180">
            <v>0</v>
          </cell>
          <cell r="AQ180">
            <v>31</v>
          </cell>
          <cell r="AR180">
            <v>0</v>
          </cell>
          <cell r="AS180">
            <v>7</v>
          </cell>
          <cell r="AT180">
            <v>0</v>
          </cell>
          <cell r="AU180">
            <v>38</v>
          </cell>
          <cell r="AW180" t="str">
            <v xml:space="preserve">       c.  Discharges</v>
          </cell>
          <cell r="AX180">
            <v>0</v>
          </cell>
          <cell r="AY180">
            <v>113</v>
          </cell>
          <cell r="AZ180">
            <v>0</v>
          </cell>
          <cell r="BA180">
            <v>13</v>
          </cell>
          <cell r="BB180">
            <v>0</v>
          </cell>
          <cell r="BC180">
            <v>126</v>
          </cell>
        </row>
        <row r="181">
          <cell r="A181" t="str">
            <v xml:space="preserve">       d.  Discharge Days</v>
          </cell>
          <cell r="B181">
            <v>0</v>
          </cell>
          <cell r="C181">
            <v>76</v>
          </cell>
          <cell r="D181">
            <v>0</v>
          </cell>
          <cell r="E181">
            <v>11</v>
          </cell>
          <cell r="F181">
            <v>0</v>
          </cell>
          <cell r="G181">
            <v>87</v>
          </cell>
          <cell r="I181" t="str">
            <v xml:space="preserve">       d.  Discharge Days</v>
          </cell>
          <cell r="J181">
            <v>0</v>
          </cell>
          <cell r="K181">
            <v>131</v>
          </cell>
          <cell r="L181">
            <v>0</v>
          </cell>
          <cell r="M181">
            <v>58</v>
          </cell>
          <cell r="N181">
            <v>0</v>
          </cell>
          <cell r="O181">
            <v>189</v>
          </cell>
          <cell r="Q181" t="str">
            <v xml:space="preserve">       d.  Discharge Days</v>
          </cell>
          <cell r="R181">
            <v>0</v>
          </cell>
          <cell r="S181">
            <v>65</v>
          </cell>
          <cell r="T181">
            <v>0</v>
          </cell>
          <cell r="U181">
            <v>6</v>
          </cell>
          <cell r="V181">
            <v>0</v>
          </cell>
          <cell r="W181">
            <v>71</v>
          </cell>
          <cell r="Y181" t="str">
            <v xml:space="preserve">       d.  Discharge Days</v>
          </cell>
          <cell r="Z181">
            <v>0</v>
          </cell>
          <cell r="AA181">
            <v>3294</v>
          </cell>
          <cell r="AB181">
            <v>0</v>
          </cell>
          <cell r="AC181">
            <v>668</v>
          </cell>
          <cell r="AD181">
            <v>0</v>
          </cell>
          <cell r="AE181">
            <v>3962</v>
          </cell>
          <cell r="AG181" t="str">
            <v xml:space="preserve">       d.  Discharge Days</v>
          </cell>
          <cell r="AH181">
            <v>0</v>
          </cell>
          <cell r="AI181">
            <v>586</v>
          </cell>
          <cell r="AJ181">
            <v>0</v>
          </cell>
          <cell r="AK181">
            <v>142</v>
          </cell>
          <cell r="AL181">
            <v>0</v>
          </cell>
          <cell r="AM181">
            <v>728</v>
          </cell>
          <cell r="AO181" t="str">
            <v xml:space="preserve">       d.  Discharge Days</v>
          </cell>
          <cell r="AP181">
            <v>0</v>
          </cell>
          <cell r="AQ181">
            <v>128</v>
          </cell>
          <cell r="AR181">
            <v>0</v>
          </cell>
          <cell r="AS181">
            <v>33</v>
          </cell>
          <cell r="AT181">
            <v>0</v>
          </cell>
          <cell r="AU181">
            <v>161</v>
          </cell>
          <cell r="AW181" t="str">
            <v xml:space="preserve">       d.  Discharge Days</v>
          </cell>
          <cell r="AX181">
            <v>0</v>
          </cell>
          <cell r="AY181">
            <v>519</v>
          </cell>
          <cell r="AZ181">
            <v>0</v>
          </cell>
          <cell r="BA181">
            <v>48</v>
          </cell>
          <cell r="BB181">
            <v>0</v>
          </cell>
          <cell r="BC181">
            <v>567</v>
          </cell>
        </row>
        <row r="182">
          <cell r="A182" t="str">
            <v xml:space="preserve">       e.  Average Length of Stay</v>
          </cell>
          <cell r="B182">
            <v>0</v>
          </cell>
          <cell r="C182">
            <v>4.2222222222222223</v>
          </cell>
          <cell r="D182">
            <v>0</v>
          </cell>
          <cell r="E182">
            <v>5.5</v>
          </cell>
          <cell r="F182">
            <v>0</v>
          </cell>
          <cell r="G182">
            <v>4.3499999999999996</v>
          </cell>
          <cell r="I182" t="str">
            <v xml:space="preserve">       e.  Average Length of Stay</v>
          </cell>
          <cell r="J182">
            <v>0</v>
          </cell>
          <cell r="K182">
            <v>5.0384615384615383</v>
          </cell>
          <cell r="L182">
            <v>0</v>
          </cell>
          <cell r="M182">
            <v>5.8</v>
          </cell>
          <cell r="N182">
            <v>0</v>
          </cell>
          <cell r="O182">
            <v>5.25</v>
          </cell>
          <cell r="Q182" t="str">
            <v xml:space="preserve">       e.  Average Length of Stay</v>
          </cell>
          <cell r="R182">
            <v>0</v>
          </cell>
          <cell r="S182">
            <v>5</v>
          </cell>
          <cell r="T182">
            <v>0</v>
          </cell>
          <cell r="U182">
            <v>3</v>
          </cell>
          <cell r="V182">
            <v>0</v>
          </cell>
          <cell r="W182">
            <v>4.7333333333333334</v>
          </cell>
          <cell r="Y182" t="str">
            <v xml:space="preserve">       e.  Average Length of Stay</v>
          </cell>
          <cell r="Z182">
            <v>0</v>
          </cell>
          <cell r="AA182">
            <v>4.3978638184245664</v>
          </cell>
          <cell r="AB182">
            <v>0</v>
          </cell>
          <cell r="AC182">
            <v>4.9117647058823533</v>
          </cell>
          <cell r="AD182">
            <v>0</v>
          </cell>
          <cell r="AE182">
            <v>4.4768361581920901</v>
          </cell>
          <cell r="AG182" t="str">
            <v xml:space="preserve">       e.  Average Length of Stay</v>
          </cell>
          <cell r="AH182">
            <v>0</v>
          </cell>
          <cell r="AI182">
            <v>4.9243697478991599</v>
          </cell>
          <cell r="AJ182">
            <v>0</v>
          </cell>
          <cell r="AK182">
            <v>5.0714285714285712</v>
          </cell>
          <cell r="AL182">
            <v>0</v>
          </cell>
          <cell r="AM182">
            <v>4.9523809523809526</v>
          </cell>
          <cell r="AO182" t="str">
            <v xml:space="preserve">       e.  Average Length of Stay</v>
          </cell>
          <cell r="AP182">
            <v>0</v>
          </cell>
          <cell r="AQ182">
            <v>4.129032258064516</v>
          </cell>
          <cell r="AR182">
            <v>0</v>
          </cell>
          <cell r="AS182">
            <v>4.7142857142857144</v>
          </cell>
          <cell r="AT182">
            <v>0</v>
          </cell>
          <cell r="AU182">
            <v>4.2368421052631575</v>
          </cell>
          <cell r="AW182" t="str">
            <v xml:space="preserve">       e.  Average Length of Stay</v>
          </cell>
          <cell r="AX182">
            <v>0</v>
          </cell>
          <cell r="AY182">
            <v>4.5929203539823007</v>
          </cell>
          <cell r="AZ182">
            <v>0</v>
          </cell>
          <cell r="BA182">
            <v>3.6923076923076925</v>
          </cell>
          <cell r="BB182">
            <v>0</v>
          </cell>
          <cell r="BC182">
            <v>4.5</v>
          </cell>
        </row>
        <row r="184">
          <cell r="A184" t="str">
            <v>D.   Emergency Room Visits</v>
          </cell>
          <cell r="B184">
            <v>0</v>
          </cell>
          <cell r="C184">
            <v>8</v>
          </cell>
          <cell r="D184">
            <v>0</v>
          </cell>
          <cell r="E184">
            <v>3</v>
          </cell>
          <cell r="F184">
            <v>0</v>
          </cell>
          <cell r="G184">
            <v>11</v>
          </cell>
          <cell r="I184" t="str">
            <v>D.   Emergency Room Visits</v>
          </cell>
          <cell r="J184">
            <v>0</v>
          </cell>
          <cell r="K184">
            <v>18</v>
          </cell>
          <cell r="L184">
            <v>0</v>
          </cell>
          <cell r="M184">
            <v>10</v>
          </cell>
          <cell r="N184">
            <v>0</v>
          </cell>
          <cell r="O184">
            <v>28</v>
          </cell>
          <cell r="Q184" t="str">
            <v>D.   Emergency Room Visits</v>
          </cell>
          <cell r="R184">
            <v>0</v>
          </cell>
          <cell r="S184">
            <v>9</v>
          </cell>
          <cell r="T184">
            <v>0</v>
          </cell>
          <cell r="U184">
            <v>1</v>
          </cell>
          <cell r="V184">
            <v>0</v>
          </cell>
          <cell r="W184">
            <v>10</v>
          </cell>
          <cell r="Y184" t="str">
            <v>D.   Emergency Room Visits</v>
          </cell>
          <cell r="Z184">
            <v>0</v>
          </cell>
          <cell r="AA184">
            <v>247</v>
          </cell>
          <cell r="AB184">
            <v>0</v>
          </cell>
          <cell r="AC184">
            <v>131</v>
          </cell>
          <cell r="AD184">
            <v>0</v>
          </cell>
          <cell r="AE184">
            <v>378</v>
          </cell>
          <cell r="AG184" t="str">
            <v>D.   Emergency Room Visits</v>
          </cell>
          <cell r="AH184">
            <v>0</v>
          </cell>
          <cell r="AI184">
            <v>102</v>
          </cell>
          <cell r="AJ184">
            <v>0</v>
          </cell>
          <cell r="AK184">
            <v>32</v>
          </cell>
          <cell r="AL184">
            <v>0</v>
          </cell>
          <cell r="AM184">
            <v>134</v>
          </cell>
          <cell r="AO184" t="str">
            <v>D.   Emergency Room Visits</v>
          </cell>
          <cell r="AP184">
            <v>0</v>
          </cell>
          <cell r="AQ184">
            <v>27</v>
          </cell>
          <cell r="AR184">
            <v>0</v>
          </cell>
          <cell r="AS184">
            <v>12</v>
          </cell>
          <cell r="AT184">
            <v>0</v>
          </cell>
          <cell r="AU184">
            <v>39</v>
          </cell>
          <cell r="AW184" t="str">
            <v>D.   Emergency Room Visits</v>
          </cell>
          <cell r="AX184">
            <v>0</v>
          </cell>
          <cell r="AY184">
            <v>43</v>
          </cell>
          <cell r="AZ184">
            <v>0</v>
          </cell>
          <cell r="BA184">
            <v>10</v>
          </cell>
          <cell r="BB184">
            <v>0</v>
          </cell>
          <cell r="BC184">
            <v>53</v>
          </cell>
        </row>
        <row r="188">
          <cell r="A188" t="str">
            <v>Program Contractor Financial Reporting Systems - Report #11A Utilization Data Report by County</v>
          </cell>
          <cell r="I188" t="str">
            <v>Program Contractor Financial Reporting Systems - Report #11A Utilization Data Report by County</v>
          </cell>
          <cell r="Q188" t="str">
            <v>Program Contractor Financial Reporting Systems - Report #11A Utilization Data Report by County</v>
          </cell>
          <cell r="Y188" t="str">
            <v>Program Contractor Financial Reporting Systems - Report #11A Utilization Data Report by County</v>
          </cell>
          <cell r="AG188" t="str">
            <v>Program Contractor Financial Reporting Systems - Report #11A Utilization Data Report by County</v>
          </cell>
          <cell r="AO188" t="str">
            <v>Program Contractor Financial Reporting Systems - Report #11A Utilization Data Report by County</v>
          </cell>
          <cell r="AW188" t="str">
            <v>Program Contractor Financial Reporting Systems - Report #11A Utilization Data Report by County</v>
          </cell>
        </row>
        <row r="190">
          <cell r="A190" t="str">
            <v>Statement for Program Contractor 110049 - Evercare of Arizona, Inc.</v>
          </cell>
          <cell r="F190" t="str">
            <v>County:</v>
          </cell>
          <cell r="G190" t="str">
            <v>Apache</v>
          </cell>
          <cell r="I190" t="str">
            <v>Statement for Program Contractor 110049 - Evercare of Arizona, Inc.</v>
          </cell>
          <cell r="N190" t="str">
            <v>County:</v>
          </cell>
          <cell r="O190" t="str">
            <v>Coconino</v>
          </cell>
          <cell r="Q190" t="str">
            <v>Statement for Program Contractor 110049 - Evercare of Arizona, Inc.</v>
          </cell>
          <cell r="V190" t="str">
            <v>County:</v>
          </cell>
          <cell r="W190" t="str">
            <v>La Paz</v>
          </cell>
          <cell r="Y190" t="str">
            <v>Statement for Program Contractor 110049 - Evercare of Arizona, Inc.</v>
          </cell>
          <cell r="AD190" t="str">
            <v>County:</v>
          </cell>
          <cell r="AE190" t="str">
            <v>Maricopa</v>
          </cell>
          <cell r="AG190" t="str">
            <v>Statement for Program Contractor 110049 - Evercare of Arizona, Inc.</v>
          </cell>
          <cell r="AL190" t="str">
            <v>County:</v>
          </cell>
          <cell r="AM190" t="str">
            <v>Mohave</v>
          </cell>
          <cell r="AO190" t="str">
            <v>Statement for Program Contractor 110049 - Evercare of Arizona, Inc.</v>
          </cell>
          <cell r="AT190" t="str">
            <v>County:</v>
          </cell>
          <cell r="AU190" t="str">
            <v>Navajo</v>
          </cell>
          <cell r="AW190" t="str">
            <v>Statement for Program Contractor 110049 - Evercare of Arizona, Inc.</v>
          </cell>
          <cell r="BB190" t="str">
            <v>County:</v>
          </cell>
          <cell r="BC190" t="str">
            <v>Yuma</v>
          </cell>
        </row>
        <row r="192">
          <cell r="A192" t="str">
            <v>For the Month ending 2/28/2006 in the Fiscal Year ending 9/30/2006</v>
          </cell>
          <cell r="F192" t="str">
            <v>Page 2 of 21</v>
          </cell>
          <cell r="I192" t="str">
            <v>For the Month ending 2/28/2006 in the Fiscal Year ending 9/30/2006</v>
          </cell>
          <cell r="N192" t="str">
            <v>Page 5 of 21</v>
          </cell>
          <cell r="Q192" t="str">
            <v>For the Month ending 2/28/2006 in the Fiscal Year ending 9/30/2006</v>
          </cell>
          <cell r="V192" t="str">
            <v>Page 8 of 21</v>
          </cell>
          <cell r="Y192" t="str">
            <v>For the Month ending 2/28/2006 in the Fiscal Year ending 9/30/2006</v>
          </cell>
          <cell r="AD192" t="str">
            <v>Page 11 of 21</v>
          </cell>
          <cell r="AG192" t="str">
            <v>For the Month ending 2/28/2006 in the Fiscal Year ending 9/30/2006</v>
          </cell>
          <cell r="AL192" t="str">
            <v>Page 14 of 21</v>
          </cell>
          <cell r="AO192" t="str">
            <v>For the Month ending 2/28/2006 in the Fiscal Year ending 9/30/2006</v>
          </cell>
          <cell r="AT192" t="str">
            <v>Page 17 of 21</v>
          </cell>
          <cell r="AW192" t="str">
            <v>For the Month ending 2/28/2006 in the Fiscal Year ending 9/30/2006</v>
          </cell>
          <cell r="BB192" t="str">
            <v>Page 20 of 21</v>
          </cell>
        </row>
        <row r="195">
          <cell r="A195" t="str">
            <v>Utilization Data Report by County</v>
          </cell>
          <cell r="I195" t="str">
            <v>Utilization Data Report by County</v>
          </cell>
          <cell r="Q195" t="str">
            <v>Utilization Data Report by County</v>
          </cell>
          <cell r="Y195" t="str">
            <v>Utilization Data Report by County</v>
          </cell>
          <cell r="AG195" t="str">
            <v>Utilization Data Report by County</v>
          </cell>
          <cell r="AO195" t="str">
            <v>Utilization Data Report by County</v>
          </cell>
          <cell r="AW195" t="str">
            <v>Utilization Data Report by County</v>
          </cell>
        </row>
        <row r="197">
          <cell r="B197" t="str">
            <v>MEDICARE</v>
          </cell>
          <cell r="D197" t="str">
            <v>NON-MEDICARE</v>
          </cell>
          <cell r="F197" t="str">
            <v>TOTAL</v>
          </cell>
          <cell r="J197" t="str">
            <v>MEDICARE</v>
          </cell>
          <cell r="L197" t="str">
            <v>NON-MEDICARE</v>
          </cell>
          <cell r="N197" t="str">
            <v>TOTAL</v>
          </cell>
          <cell r="R197" t="str">
            <v>MEDICARE</v>
          </cell>
          <cell r="T197" t="str">
            <v>NON-MEDICARE</v>
          </cell>
          <cell r="V197" t="str">
            <v>TOTAL</v>
          </cell>
          <cell r="Z197" t="str">
            <v>MEDICARE</v>
          </cell>
          <cell r="AB197" t="str">
            <v>NON-MEDICARE</v>
          </cell>
          <cell r="AD197" t="str">
            <v>TOTAL</v>
          </cell>
          <cell r="AH197" t="str">
            <v>MEDICARE</v>
          </cell>
          <cell r="AJ197" t="str">
            <v>NON-MEDICARE</v>
          </cell>
          <cell r="AL197" t="str">
            <v>TOTAL</v>
          </cell>
          <cell r="AP197" t="str">
            <v>MEDICARE</v>
          </cell>
          <cell r="AR197" t="str">
            <v>NON-MEDICARE</v>
          </cell>
          <cell r="AT197" t="str">
            <v>TOTAL</v>
          </cell>
          <cell r="AX197" t="str">
            <v>MEDICARE</v>
          </cell>
          <cell r="AZ197" t="str">
            <v>NON-MEDICARE</v>
          </cell>
          <cell r="BB197" t="str">
            <v>TOTAL</v>
          </cell>
        </row>
        <row r="198">
          <cell r="A198" t="str">
            <v>ITEM DESCRIPTION</v>
          </cell>
          <cell r="B198" t="str">
            <v>Current</v>
          </cell>
          <cell r="D198" t="str">
            <v>Current</v>
          </cell>
          <cell r="F198" t="str">
            <v>Current</v>
          </cell>
          <cell r="I198" t="str">
            <v>ITEM DESCRIPTION</v>
          </cell>
          <cell r="J198" t="str">
            <v>Current</v>
          </cell>
          <cell r="L198" t="str">
            <v>Current</v>
          </cell>
          <cell r="N198" t="str">
            <v>Current</v>
          </cell>
          <cell r="Q198" t="str">
            <v>ITEM DESCRIPTION</v>
          </cell>
          <cell r="R198" t="str">
            <v>Current</v>
          </cell>
          <cell r="T198" t="str">
            <v>Current</v>
          </cell>
          <cell r="V198" t="str">
            <v>Current</v>
          </cell>
          <cell r="Y198" t="str">
            <v>ITEM DESCRIPTION</v>
          </cell>
          <cell r="Z198" t="str">
            <v>Current</v>
          </cell>
          <cell r="AB198" t="str">
            <v>Current</v>
          </cell>
          <cell r="AD198" t="str">
            <v>Current</v>
          </cell>
          <cell r="AG198" t="str">
            <v>ITEM DESCRIPTION</v>
          </cell>
          <cell r="AH198" t="str">
            <v>Current</v>
          </cell>
          <cell r="AJ198" t="str">
            <v>Current</v>
          </cell>
          <cell r="AL198" t="str">
            <v>Current</v>
          </cell>
          <cell r="AO198" t="str">
            <v>ITEM DESCRIPTION</v>
          </cell>
          <cell r="AP198" t="str">
            <v>Current</v>
          </cell>
          <cell r="AR198" t="str">
            <v>Current</v>
          </cell>
          <cell r="AT198" t="str">
            <v>Current</v>
          </cell>
          <cell r="AW198" t="str">
            <v>ITEM DESCRIPTION</v>
          </cell>
          <cell r="AX198" t="str">
            <v>Current</v>
          </cell>
          <cell r="AZ198" t="str">
            <v>Current</v>
          </cell>
          <cell r="BB198" t="str">
            <v>Current</v>
          </cell>
        </row>
        <row r="199">
          <cell r="B199" t="str">
            <v>Period</v>
          </cell>
          <cell r="C199" t="str">
            <v>YTD</v>
          </cell>
          <cell r="D199" t="str">
            <v>Period</v>
          </cell>
          <cell r="E199" t="str">
            <v>YTD</v>
          </cell>
          <cell r="F199" t="str">
            <v>Period</v>
          </cell>
          <cell r="G199" t="str">
            <v>YTD</v>
          </cell>
          <cell r="J199" t="str">
            <v>Period</v>
          </cell>
          <cell r="K199" t="str">
            <v>YTD</v>
          </cell>
          <cell r="L199" t="str">
            <v>Period</v>
          </cell>
          <cell r="M199" t="str">
            <v>YTD</v>
          </cell>
          <cell r="N199" t="str">
            <v>Period</v>
          </cell>
          <cell r="O199" t="str">
            <v>YTD</v>
          </cell>
          <cell r="R199" t="str">
            <v>Period</v>
          </cell>
          <cell r="S199" t="str">
            <v>YTD</v>
          </cell>
          <cell r="T199" t="str">
            <v>Period</v>
          </cell>
          <cell r="U199" t="str">
            <v>YTD</v>
          </cell>
          <cell r="V199" t="str">
            <v>Period</v>
          </cell>
          <cell r="W199" t="str">
            <v>YTD</v>
          </cell>
          <cell r="Z199" t="str">
            <v>Period</v>
          </cell>
          <cell r="AA199" t="str">
            <v>YTD</v>
          </cell>
          <cell r="AB199" t="str">
            <v>Period</v>
          </cell>
          <cell r="AC199" t="str">
            <v>YTD</v>
          </cell>
          <cell r="AD199" t="str">
            <v>Period</v>
          </cell>
          <cell r="AE199" t="str">
            <v>YTD</v>
          </cell>
          <cell r="AH199" t="str">
            <v>Period</v>
          </cell>
          <cell r="AI199" t="str">
            <v>YTD</v>
          </cell>
          <cell r="AJ199" t="str">
            <v>Period</v>
          </cell>
          <cell r="AK199" t="str">
            <v>YTD</v>
          </cell>
          <cell r="AL199" t="str">
            <v>Period</v>
          </cell>
          <cell r="AM199" t="str">
            <v>YTD</v>
          </cell>
          <cell r="AP199" t="str">
            <v>Period</v>
          </cell>
          <cell r="AQ199" t="str">
            <v>YTD</v>
          </cell>
          <cell r="AR199" t="str">
            <v>Period</v>
          </cell>
          <cell r="AS199" t="str">
            <v>YTD</v>
          </cell>
          <cell r="AT199" t="str">
            <v>Period</v>
          </cell>
          <cell r="AU199" t="str">
            <v>YTD</v>
          </cell>
          <cell r="AX199" t="str">
            <v>Period</v>
          </cell>
          <cell r="AY199" t="str">
            <v>YTD</v>
          </cell>
          <cell r="AZ199" t="str">
            <v>Period</v>
          </cell>
          <cell r="BA199" t="str">
            <v>YTD</v>
          </cell>
          <cell r="BB199" t="str">
            <v>Period</v>
          </cell>
          <cell r="BC199" t="str">
            <v>YTD</v>
          </cell>
        </row>
        <row r="200">
          <cell r="A200" t="str">
            <v>A.   Enrollees (At End of Period)</v>
          </cell>
          <cell r="B200">
            <v>0</v>
          </cell>
          <cell r="D200">
            <v>0</v>
          </cell>
          <cell r="F200">
            <v>0</v>
          </cell>
          <cell r="I200" t="str">
            <v>A.   Enrollees (At End of Period)</v>
          </cell>
          <cell r="J200">
            <v>0</v>
          </cell>
          <cell r="L200">
            <v>0</v>
          </cell>
          <cell r="N200">
            <v>0</v>
          </cell>
          <cell r="Q200" t="str">
            <v>A.   Enrollees (At End of Period)</v>
          </cell>
          <cell r="R200">
            <v>0</v>
          </cell>
          <cell r="T200">
            <v>0</v>
          </cell>
          <cell r="V200">
            <v>0</v>
          </cell>
          <cell r="Y200" t="str">
            <v>A.   Enrollees (At End of Period)</v>
          </cell>
          <cell r="Z200">
            <v>0</v>
          </cell>
          <cell r="AB200">
            <v>0</v>
          </cell>
          <cell r="AD200">
            <v>0</v>
          </cell>
          <cell r="AG200" t="str">
            <v>A.   Enrollees (At End of Period)</v>
          </cell>
          <cell r="AH200">
            <v>0</v>
          </cell>
          <cell r="AJ200">
            <v>0</v>
          </cell>
          <cell r="AL200">
            <v>0</v>
          </cell>
          <cell r="AO200" t="str">
            <v>A.   Enrollees (At End of Period)</v>
          </cell>
          <cell r="AP200">
            <v>0</v>
          </cell>
          <cell r="AR200">
            <v>0</v>
          </cell>
          <cell r="AT200">
            <v>0</v>
          </cell>
          <cell r="AW200" t="str">
            <v>A.   Enrollees (At End of Period)</v>
          </cell>
          <cell r="AX200">
            <v>0</v>
          </cell>
          <cell r="AZ200">
            <v>0</v>
          </cell>
          <cell r="BB200">
            <v>0</v>
          </cell>
        </row>
        <row r="202">
          <cell r="A202" t="str">
            <v>B.   Member Months (Unduplicated)</v>
          </cell>
          <cell r="B202">
            <v>0</v>
          </cell>
          <cell r="C202">
            <v>190.88669999999996</v>
          </cell>
          <cell r="D202">
            <v>0</v>
          </cell>
          <cell r="E202">
            <v>54.75</v>
          </cell>
          <cell r="F202">
            <v>0</v>
          </cell>
          <cell r="G202">
            <v>245.63669999999996</v>
          </cell>
          <cell r="I202" t="str">
            <v>B.   Member Months (Unduplicated)</v>
          </cell>
          <cell r="J202">
            <v>0</v>
          </cell>
          <cell r="K202">
            <v>513.7274000000001</v>
          </cell>
          <cell r="L202">
            <v>0</v>
          </cell>
          <cell r="M202">
            <v>110.61330000000001</v>
          </cell>
          <cell r="N202">
            <v>0</v>
          </cell>
          <cell r="O202">
            <v>624.34070000000008</v>
          </cell>
          <cell r="Q202" t="str">
            <v>B.   Member Months (Unduplicated)</v>
          </cell>
          <cell r="R202">
            <v>0</v>
          </cell>
          <cell r="S202">
            <v>222.08120000000002</v>
          </cell>
          <cell r="T202">
            <v>0</v>
          </cell>
          <cell r="U202">
            <v>17.07</v>
          </cell>
          <cell r="V202">
            <v>0</v>
          </cell>
          <cell r="W202">
            <v>239.15120000000002</v>
          </cell>
          <cell r="Y202" t="str">
            <v>B.   Member Months (Unduplicated)</v>
          </cell>
          <cell r="Z202">
            <v>0</v>
          </cell>
          <cell r="AA202">
            <v>13367.081800000002</v>
          </cell>
          <cell r="AB202">
            <v>0</v>
          </cell>
          <cell r="AC202">
            <v>1964.4491000000003</v>
          </cell>
          <cell r="AD202">
            <v>0</v>
          </cell>
          <cell r="AE202">
            <v>15331.530900000002</v>
          </cell>
          <cell r="AG202" t="str">
            <v>B.   Member Months (Unduplicated)</v>
          </cell>
          <cell r="AH202">
            <v>0</v>
          </cell>
          <cell r="AI202">
            <v>2465.0030999999999</v>
          </cell>
          <cell r="AJ202">
            <v>0</v>
          </cell>
          <cell r="AK202">
            <v>338.37329999999997</v>
          </cell>
          <cell r="AL202">
            <v>0</v>
          </cell>
          <cell r="AM202">
            <v>2803.3764000000001</v>
          </cell>
          <cell r="AO202" t="str">
            <v>B.   Member Months (Unduplicated)</v>
          </cell>
          <cell r="AP202">
            <v>0</v>
          </cell>
          <cell r="AQ202">
            <v>588.85000000000014</v>
          </cell>
          <cell r="AR202">
            <v>0</v>
          </cell>
          <cell r="AS202">
            <v>145.74229999999997</v>
          </cell>
          <cell r="AT202">
            <v>0</v>
          </cell>
          <cell r="AU202">
            <v>734.59230000000014</v>
          </cell>
          <cell r="AW202" t="str">
            <v>B.   Member Months (Unduplicated)</v>
          </cell>
          <cell r="AX202">
            <v>0</v>
          </cell>
          <cell r="AY202">
            <v>1674.2218</v>
          </cell>
          <cell r="AZ202">
            <v>0</v>
          </cell>
          <cell r="BA202">
            <v>331.96999999999997</v>
          </cell>
          <cell r="BB202">
            <v>0</v>
          </cell>
          <cell r="BC202">
            <v>2006.1918000000001</v>
          </cell>
        </row>
        <row r="203">
          <cell r="A203" t="str">
            <v xml:space="preserve">   Institutional Member Months Total</v>
          </cell>
          <cell r="B203">
            <v>0</v>
          </cell>
          <cell r="C203">
            <v>15.7</v>
          </cell>
          <cell r="D203">
            <v>0</v>
          </cell>
          <cell r="E203">
            <v>11.14</v>
          </cell>
          <cell r="F203">
            <v>0</v>
          </cell>
          <cell r="G203">
            <v>26.84</v>
          </cell>
          <cell r="I203" t="str">
            <v xml:space="preserve">   Institutional Member Months Total</v>
          </cell>
          <cell r="J203">
            <v>0</v>
          </cell>
          <cell r="K203">
            <v>190.48</v>
          </cell>
          <cell r="L203">
            <v>0</v>
          </cell>
          <cell r="M203">
            <v>12.73</v>
          </cell>
          <cell r="N203">
            <v>0</v>
          </cell>
          <cell r="O203">
            <v>203.20999999999998</v>
          </cell>
          <cell r="Q203" t="str">
            <v xml:space="preserve">   Institutional Member Months Total</v>
          </cell>
          <cell r="R203">
            <v>0</v>
          </cell>
          <cell r="S203">
            <v>122.66999999999999</v>
          </cell>
          <cell r="T203">
            <v>0</v>
          </cell>
          <cell r="U203">
            <v>3</v>
          </cell>
          <cell r="V203">
            <v>0</v>
          </cell>
          <cell r="W203">
            <v>125.66999999999999</v>
          </cell>
          <cell r="Y203" t="str">
            <v xml:space="preserve">   Institutional Member Months Total</v>
          </cell>
          <cell r="Z203">
            <v>0</v>
          </cell>
          <cell r="AA203">
            <v>5378.2800000000007</v>
          </cell>
          <cell r="AB203">
            <v>0</v>
          </cell>
          <cell r="AC203">
            <v>460.42000000000007</v>
          </cell>
          <cell r="AD203">
            <v>0</v>
          </cell>
          <cell r="AE203">
            <v>5838.7000000000007</v>
          </cell>
          <cell r="AG203" t="str">
            <v xml:space="preserve">   Institutional Member Months Total</v>
          </cell>
          <cell r="AH203">
            <v>0</v>
          </cell>
          <cell r="AI203">
            <v>1342.8</v>
          </cell>
          <cell r="AJ203">
            <v>0</v>
          </cell>
          <cell r="AK203">
            <v>92.289999999999992</v>
          </cell>
          <cell r="AL203">
            <v>0</v>
          </cell>
          <cell r="AM203">
            <v>1435.09</v>
          </cell>
          <cell r="AO203" t="str">
            <v xml:space="preserve">   Institutional Member Months Total</v>
          </cell>
          <cell r="AP203">
            <v>0</v>
          </cell>
          <cell r="AQ203">
            <v>111.26</v>
          </cell>
          <cell r="AR203">
            <v>0</v>
          </cell>
          <cell r="AS203">
            <v>25.259999999999998</v>
          </cell>
          <cell r="AT203">
            <v>0</v>
          </cell>
          <cell r="AU203">
            <v>136.52000000000001</v>
          </cell>
          <cell r="AW203" t="str">
            <v xml:space="preserve">   Institutional Member Months Total</v>
          </cell>
          <cell r="AX203">
            <v>0</v>
          </cell>
          <cell r="AY203">
            <v>878.52</v>
          </cell>
          <cell r="AZ203">
            <v>0</v>
          </cell>
          <cell r="BA203">
            <v>113.56</v>
          </cell>
          <cell r="BB203">
            <v>0</v>
          </cell>
          <cell r="BC203">
            <v>992.07999999999993</v>
          </cell>
        </row>
        <row r="204">
          <cell r="A204" t="str">
            <v xml:space="preserve">   1.  Level I</v>
          </cell>
          <cell r="B204">
            <v>0</v>
          </cell>
          <cell r="C204">
            <v>6.81</v>
          </cell>
          <cell r="D204">
            <v>0</v>
          </cell>
          <cell r="E204">
            <v>8.14</v>
          </cell>
          <cell r="F204">
            <v>0</v>
          </cell>
          <cell r="G204">
            <v>14.95</v>
          </cell>
          <cell r="I204" t="str">
            <v xml:space="preserve">   1.  Level I</v>
          </cell>
          <cell r="J204">
            <v>0</v>
          </cell>
          <cell r="K204">
            <v>86.49</v>
          </cell>
          <cell r="L204">
            <v>0</v>
          </cell>
          <cell r="M204">
            <v>8.23</v>
          </cell>
          <cell r="N204">
            <v>0</v>
          </cell>
          <cell r="O204">
            <v>94.72</v>
          </cell>
          <cell r="Q204" t="str">
            <v xml:space="preserve">   1.  Level I</v>
          </cell>
          <cell r="R204">
            <v>0</v>
          </cell>
          <cell r="S204">
            <v>78.349999999999994</v>
          </cell>
          <cell r="T204">
            <v>0</v>
          </cell>
          <cell r="U204">
            <v>0</v>
          </cell>
          <cell r="V204">
            <v>0</v>
          </cell>
          <cell r="W204">
            <v>78.349999999999994</v>
          </cell>
          <cell r="Y204" t="str">
            <v xml:space="preserve">   1.  Level I</v>
          </cell>
          <cell r="Z204">
            <v>0</v>
          </cell>
          <cell r="AA204">
            <v>3650.05</v>
          </cell>
          <cell r="AB204">
            <v>0</v>
          </cell>
          <cell r="AC204">
            <v>288.17</v>
          </cell>
          <cell r="AD204">
            <v>0</v>
          </cell>
          <cell r="AE204">
            <v>3938.2200000000003</v>
          </cell>
          <cell r="AG204" t="str">
            <v xml:space="preserve">   1.  Level I</v>
          </cell>
          <cell r="AH204">
            <v>0</v>
          </cell>
          <cell r="AI204">
            <v>607.04999999999995</v>
          </cell>
          <cell r="AJ204">
            <v>0</v>
          </cell>
          <cell r="AK204">
            <v>46.1</v>
          </cell>
          <cell r="AL204">
            <v>0</v>
          </cell>
          <cell r="AM204">
            <v>653.15</v>
          </cell>
          <cell r="AO204" t="str">
            <v xml:space="preserve">   1.  Level I</v>
          </cell>
          <cell r="AP204">
            <v>0</v>
          </cell>
          <cell r="AQ204">
            <v>64.41</v>
          </cell>
          <cell r="AR204">
            <v>0</v>
          </cell>
          <cell r="AS204">
            <v>22.259999999999998</v>
          </cell>
          <cell r="AT204">
            <v>0</v>
          </cell>
          <cell r="AU204">
            <v>86.669999999999987</v>
          </cell>
          <cell r="AW204" t="str">
            <v xml:space="preserve">   1.  Level I</v>
          </cell>
          <cell r="AX204">
            <v>0</v>
          </cell>
          <cell r="AY204">
            <v>471.98</v>
          </cell>
          <cell r="AZ204">
            <v>0</v>
          </cell>
          <cell r="BA204">
            <v>69.94</v>
          </cell>
          <cell r="BB204">
            <v>0</v>
          </cell>
          <cell r="BC204">
            <v>541.92000000000007</v>
          </cell>
        </row>
        <row r="205">
          <cell r="A205" t="str">
            <v xml:space="preserve">   2.  Level II</v>
          </cell>
          <cell r="B205">
            <v>0</v>
          </cell>
          <cell r="C205">
            <v>6.73</v>
          </cell>
          <cell r="D205">
            <v>0</v>
          </cell>
          <cell r="E205">
            <v>3</v>
          </cell>
          <cell r="F205">
            <v>0</v>
          </cell>
          <cell r="G205">
            <v>9.73</v>
          </cell>
          <cell r="I205" t="str">
            <v xml:space="preserve">   2.  Level II</v>
          </cell>
          <cell r="J205">
            <v>0</v>
          </cell>
          <cell r="K205">
            <v>87.8</v>
          </cell>
          <cell r="L205">
            <v>0</v>
          </cell>
          <cell r="M205">
            <v>3</v>
          </cell>
          <cell r="N205">
            <v>0</v>
          </cell>
          <cell r="O205">
            <v>90.8</v>
          </cell>
          <cell r="Q205" t="str">
            <v xml:space="preserve">   2.  Level II</v>
          </cell>
          <cell r="R205">
            <v>0</v>
          </cell>
          <cell r="S205">
            <v>37.57</v>
          </cell>
          <cell r="T205">
            <v>0</v>
          </cell>
          <cell r="U205">
            <v>3</v>
          </cell>
          <cell r="V205">
            <v>0</v>
          </cell>
          <cell r="W205">
            <v>40.57</v>
          </cell>
          <cell r="Y205" t="str">
            <v xml:space="preserve">   2.  Level II</v>
          </cell>
          <cell r="Z205">
            <v>0</v>
          </cell>
          <cell r="AA205">
            <v>1526.49</v>
          </cell>
          <cell r="AB205">
            <v>0</v>
          </cell>
          <cell r="AC205">
            <v>127.19</v>
          </cell>
          <cell r="AD205">
            <v>0</v>
          </cell>
          <cell r="AE205">
            <v>1653.68</v>
          </cell>
          <cell r="AG205" t="str">
            <v xml:space="preserve">   2.  Level II</v>
          </cell>
          <cell r="AH205">
            <v>0</v>
          </cell>
          <cell r="AI205">
            <v>602.55999999999995</v>
          </cell>
          <cell r="AJ205">
            <v>0</v>
          </cell>
          <cell r="AK205">
            <v>28.279999999999998</v>
          </cell>
          <cell r="AL205">
            <v>0</v>
          </cell>
          <cell r="AM205">
            <v>630.83999999999992</v>
          </cell>
          <cell r="AO205" t="str">
            <v xml:space="preserve">   2.  Level II</v>
          </cell>
          <cell r="AP205">
            <v>0</v>
          </cell>
          <cell r="AQ205">
            <v>39.450000000000003</v>
          </cell>
          <cell r="AR205">
            <v>0</v>
          </cell>
          <cell r="AS205">
            <v>3</v>
          </cell>
          <cell r="AT205">
            <v>0</v>
          </cell>
          <cell r="AU205">
            <v>42.45</v>
          </cell>
          <cell r="AW205" t="str">
            <v xml:space="preserve">   2.  Level II</v>
          </cell>
          <cell r="AX205">
            <v>0</v>
          </cell>
          <cell r="AY205">
            <v>357.26</v>
          </cell>
          <cell r="AZ205">
            <v>0</v>
          </cell>
          <cell r="BA205">
            <v>27.619999999999997</v>
          </cell>
          <cell r="BB205">
            <v>0</v>
          </cell>
          <cell r="BC205">
            <v>384.88</v>
          </cell>
        </row>
        <row r="206">
          <cell r="A206" t="str">
            <v xml:space="preserve">   3.  Level III</v>
          </cell>
          <cell r="B206">
            <v>0</v>
          </cell>
          <cell r="C206">
            <v>2.16</v>
          </cell>
          <cell r="D206">
            <v>0</v>
          </cell>
          <cell r="E206">
            <v>0</v>
          </cell>
          <cell r="F206">
            <v>0</v>
          </cell>
          <cell r="G206">
            <v>2.16</v>
          </cell>
          <cell r="I206" t="str">
            <v xml:space="preserve">   3.  Level III</v>
          </cell>
          <cell r="J206">
            <v>0</v>
          </cell>
          <cell r="K206">
            <v>16.190000000000001</v>
          </cell>
          <cell r="L206">
            <v>0</v>
          </cell>
          <cell r="M206">
            <v>1.5</v>
          </cell>
          <cell r="N206">
            <v>0</v>
          </cell>
          <cell r="O206">
            <v>17.690000000000001</v>
          </cell>
          <cell r="Q206" t="str">
            <v xml:space="preserve">   3.  Level III</v>
          </cell>
          <cell r="R206">
            <v>0</v>
          </cell>
          <cell r="S206">
            <v>6.75</v>
          </cell>
          <cell r="T206">
            <v>0</v>
          </cell>
          <cell r="U206">
            <v>0</v>
          </cell>
          <cell r="V206">
            <v>0</v>
          </cell>
          <cell r="W206">
            <v>6.75</v>
          </cell>
          <cell r="Y206" t="str">
            <v xml:space="preserve">   3.  Level III</v>
          </cell>
          <cell r="Z206">
            <v>0</v>
          </cell>
          <cell r="AA206">
            <v>200.77</v>
          </cell>
          <cell r="AB206">
            <v>0</v>
          </cell>
          <cell r="AC206">
            <v>31.090000000000003</v>
          </cell>
          <cell r="AD206">
            <v>0</v>
          </cell>
          <cell r="AE206">
            <v>231.86</v>
          </cell>
          <cell r="AG206" t="str">
            <v xml:space="preserve">   3.  Level III</v>
          </cell>
          <cell r="AH206">
            <v>0</v>
          </cell>
          <cell r="AI206">
            <v>133.19</v>
          </cell>
          <cell r="AJ206">
            <v>0</v>
          </cell>
          <cell r="AK206">
            <v>17.91</v>
          </cell>
          <cell r="AL206">
            <v>0</v>
          </cell>
          <cell r="AM206">
            <v>151.1</v>
          </cell>
          <cell r="AO206" t="str">
            <v xml:space="preserve">   3.  Level III</v>
          </cell>
          <cell r="AP206">
            <v>0</v>
          </cell>
          <cell r="AQ206">
            <v>0.4</v>
          </cell>
          <cell r="AR206">
            <v>0</v>
          </cell>
          <cell r="AS206">
            <v>0</v>
          </cell>
          <cell r="AT206">
            <v>0</v>
          </cell>
          <cell r="AU206">
            <v>0.4</v>
          </cell>
          <cell r="AW206" t="str">
            <v xml:space="preserve">   3.  Level III</v>
          </cell>
          <cell r="AX206">
            <v>0</v>
          </cell>
          <cell r="AY206">
            <v>49.28</v>
          </cell>
          <cell r="AZ206">
            <v>0</v>
          </cell>
          <cell r="BA206">
            <v>16</v>
          </cell>
          <cell r="BB206">
            <v>0</v>
          </cell>
          <cell r="BC206">
            <v>65.28</v>
          </cell>
        </row>
        <row r="207">
          <cell r="A207" t="str">
            <v xml:space="preserve">   4.  Level IV</v>
          </cell>
          <cell r="B207">
            <v>0</v>
          </cell>
          <cell r="C207">
            <v>0</v>
          </cell>
          <cell r="D207">
            <v>0</v>
          </cell>
          <cell r="E207">
            <v>0</v>
          </cell>
          <cell r="F207">
            <v>0</v>
          </cell>
          <cell r="G207">
            <v>0</v>
          </cell>
          <cell r="I207" t="str">
            <v xml:space="preserve">   4.  Level IV</v>
          </cell>
          <cell r="J207">
            <v>0</v>
          </cell>
          <cell r="K207">
            <v>0</v>
          </cell>
          <cell r="L207">
            <v>0</v>
          </cell>
          <cell r="M207">
            <v>0</v>
          </cell>
          <cell r="N207">
            <v>0</v>
          </cell>
          <cell r="O207">
            <v>0</v>
          </cell>
          <cell r="Q207" t="str">
            <v xml:space="preserve">   4.  Level IV</v>
          </cell>
          <cell r="R207">
            <v>0</v>
          </cell>
          <cell r="S207">
            <v>0</v>
          </cell>
          <cell r="T207">
            <v>0</v>
          </cell>
          <cell r="U207">
            <v>0</v>
          </cell>
          <cell r="V207">
            <v>0</v>
          </cell>
          <cell r="W207">
            <v>0</v>
          </cell>
          <cell r="Y207" t="str">
            <v xml:space="preserve">   4.  Level IV</v>
          </cell>
          <cell r="Z207">
            <v>0</v>
          </cell>
          <cell r="AA207">
            <v>0.97</v>
          </cell>
          <cell r="AB207">
            <v>0</v>
          </cell>
          <cell r="AC207">
            <v>13.969999999999999</v>
          </cell>
          <cell r="AD207">
            <v>0</v>
          </cell>
          <cell r="AE207">
            <v>14.94</v>
          </cell>
          <cell r="AG207" t="str">
            <v xml:space="preserve">   4.  Level IV</v>
          </cell>
          <cell r="AH207">
            <v>0</v>
          </cell>
          <cell r="AI207">
            <v>0</v>
          </cell>
          <cell r="AJ207">
            <v>0</v>
          </cell>
          <cell r="AK207">
            <v>0</v>
          </cell>
          <cell r="AL207">
            <v>0</v>
          </cell>
          <cell r="AM207">
            <v>0</v>
          </cell>
          <cell r="AO207" t="str">
            <v xml:space="preserve">   4.  Level IV</v>
          </cell>
          <cell r="AP207">
            <v>0</v>
          </cell>
          <cell r="AQ207">
            <v>7</v>
          </cell>
          <cell r="AR207">
            <v>0</v>
          </cell>
          <cell r="AS207">
            <v>0</v>
          </cell>
          <cell r="AT207">
            <v>0</v>
          </cell>
          <cell r="AU207">
            <v>7</v>
          </cell>
          <cell r="AW207" t="str">
            <v xml:space="preserve">   4.  Level IV</v>
          </cell>
          <cell r="AX207">
            <v>0</v>
          </cell>
          <cell r="AY207">
            <v>0</v>
          </cell>
          <cell r="AZ207">
            <v>0</v>
          </cell>
          <cell r="BA207">
            <v>0</v>
          </cell>
          <cell r="BB207">
            <v>0</v>
          </cell>
          <cell r="BC207">
            <v>0</v>
          </cell>
        </row>
        <row r="208">
          <cell r="A208" t="str">
            <v xml:space="preserve">   5.</v>
          </cell>
          <cell r="I208" t="str">
            <v xml:space="preserve">   5.</v>
          </cell>
          <cell r="Q208" t="str">
            <v xml:space="preserve">   5.</v>
          </cell>
          <cell r="Y208" t="str">
            <v xml:space="preserve">   5.</v>
          </cell>
          <cell r="AG208" t="str">
            <v xml:space="preserve">   5.</v>
          </cell>
          <cell r="AO208" t="str">
            <v xml:space="preserve">   5.</v>
          </cell>
          <cell r="AW208" t="str">
            <v xml:space="preserve">   5.</v>
          </cell>
        </row>
        <row r="209">
          <cell r="A209" t="str">
            <v xml:space="preserve">   6.</v>
          </cell>
          <cell r="I209" t="str">
            <v xml:space="preserve">   6.</v>
          </cell>
          <cell r="Q209" t="str">
            <v xml:space="preserve">   6.</v>
          </cell>
          <cell r="Y209" t="str">
            <v xml:space="preserve">   6.</v>
          </cell>
          <cell r="AG209" t="str">
            <v xml:space="preserve">   6.</v>
          </cell>
          <cell r="AO209" t="str">
            <v xml:space="preserve">   6.</v>
          </cell>
          <cell r="AW209" t="str">
            <v xml:space="preserve">   6.</v>
          </cell>
        </row>
        <row r="210">
          <cell r="A210" t="str">
            <v xml:space="preserve">   7.  Home and Community Based Services (HCBS) Total</v>
          </cell>
          <cell r="B210">
            <v>0</v>
          </cell>
          <cell r="C210">
            <v>193.30999999999997</v>
          </cell>
          <cell r="D210">
            <v>0</v>
          </cell>
          <cell r="E210">
            <v>50.61</v>
          </cell>
          <cell r="F210">
            <v>0</v>
          </cell>
          <cell r="G210">
            <v>243.91999999999996</v>
          </cell>
          <cell r="I210" t="str">
            <v xml:space="preserve">   7.  Home and Community Based Services (HCBS) Total</v>
          </cell>
          <cell r="J210">
            <v>0</v>
          </cell>
          <cell r="K210">
            <v>338.48</v>
          </cell>
          <cell r="L210">
            <v>0</v>
          </cell>
          <cell r="M210">
            <v>88.35</v>
          </cell>
          <cell r="N210">
            <v>0</v>
          </cell>
          <cell r="O210">
            <v>426.83000000000004</v>
          </cell>
          <cell r="Q210" t="str">
            <v xml:space="preserve">   7.  Home and Community Based Services (HCBS) Total</v>
          </cell>
          <cell r="R210">
            <v>0</v>
          </cell>
          <cell r="S210">
            <v>95.550000000000011</v>
          </cell>
          <cell r="T210">
            <v>0</v>
          </cell>
          <cell r="U210">
            <v>14.07</v>
          </cell>
          <cell r="V210">
            <v>0</v>
          </cell>
          <cell r="W210">
            <v>109.62</v>
          </cell>
          <cell r="Y210" t="str">
            <v xml:space="preserve">   7.  Home and Community Based Services (HCBS) Total</v>
          </cell>
          <cell r="Z210">
            <v>0</v>
          </cell>
          <cell r="AA210">
            <v>8554.57</v>
          </cell>
          <cell r="AB210">
            <v>0</v>
          </cell>
          <cell r="AC210">
            <v>1510.57</v>
          </cell>
          <cell r="AD210">
            <v>0</v>
          </cell>
          <cell r="AE210">
            <v>10065.14</v>
          </cell>
          <cell r="AG210" t="str">
            <v xml:space="preserve">   7.  Home and Community Based Services (HCBS) Total</v>
          </cell>
          <cell r="AH210">
            <v>0</v>
          </cell>
          <cell r="AI210">
            <v>1325.78</v>
          </cell>
          <cell r="AJ210">
            <v>0</v>
          </cell>
          <cell r="AK210">
            <v>251.34</v>
          </cell>
          <cell r="AL210">
            <v>0</v>
          </cell>
          <cell r="AM210">
            <v>1577.12</v>
          </cell>
          <cell r="AO210" t="str">
            <v xml:space="preserve">   7.  Home and Community Based Services (HCBS) Total</v>
          </cell>
          <cell r="AP210">
            <v>0</v>
          </cell>
          <cell r="AQ210">
            <v>479.69000000000005</v>
          </cell>
          <cell r="AR210">
            <v>0</v>
          </cell>
          <cell r="AS210">
            <v>135.70999999999998</v>
          </cell>
          <cell r="AT210">
            <v>0</v>
          </cell>
          <cell r="AU210">
            <v>615.40000000000009</v>
          </cell>
          <cell r="AW210" t="str">
            <v xml:space="preserve">   7.  Home and Community Based Services (HCBS) Total</v>
          </cell>
          <cell r="AX210">
            <v>0</v>
          </cell>
          <cell r="AY210">
            <v>1021.8000000000001</v>
          </cell>
          <cell r="AZ210">
            <v>0</v>
          </cell>
          <cell r="BA210">
            <v>258.95</v>
          </cell>
          <cell r="BB210">
            <v>0</v>
          </cell>
          <cell r="BC210">
            <v>1280.75</v>
          </cell>
        </row>
        <row r="211">
          <cell r="A211" t="str">
            <v xml:space="preserve">       a.  Adult Foster Care</v>
          </cell>
          <cell r="B211">
            <v>0</v>
          </cell>
          <cell r="C211">
            <v>0</v>
          </cell>
          <cell r="D211">
            <v>0</v>
          </cell>
          <cell r="E211">
            <v>0</v>
          </cell>
          <cell r="F211">
            <v>0</v>
          </cell>
          <cell r="G211">
            <v>0</v>
          </cell>
          <cell r="I211" t="str">
            <v xml:space="preserve">       a.  Adult Foster Care</v>
          </cell>
          <cell r="J211">
            <v>0</v>
          </cell>
          <cell r="K211">
            <v>0</v>
          </cell>
          <cell r="L211">
            <v>0</v>
          </cell>
          <cell r="M211">
            <v>1.17</v>
          </cell>
          <cell r="N211">
            <v>0</v>
          </cell>
          <cell r="O211">
            <v>1.17</v>
          </cell>
          <cell r="Q211" t="str">
            <v xml:space="preserve">       a.  Adult Foster Care</v>
          </cell>
          <cell r="R211">
            <v>0</v>
          </cell>
          <cell r="S211">
            <v>0</v>
          </cell>
          <cell r="T211">
            <v>0</v>
          </cell>
          <cell r="U211">
            <v>0</v>
          </cell>
          <cell r="V211">
            <v>0</v>
          </cell>
          <cell r="W211">
            <v>0</v>
          </cell>
          <cell r="Y211" t="str">
            <v xml:space="preserve">       a.  Adult Foster Care</v>
          </cell>
          <cell r="Z211">
            <v>0</v>
          </cell>
          <cell r="AA211">
            <v>161.51</v>
          </cell>
          <cell r="AB211">
            <v>0</v>
          </cell>
          <cell r="AC211">
            <v>26.04</v>
          </cell>
          <cell r="AD211">
            <v>0</v>
          </cell>
          <cell r="AE211">
            <v>187.54999999999998</v>
          </cell>
          <cell r="AG211" t="str">
            <v xml:space="preserve">       a.  Adult Foster Care</v>
          </cell>
          <cell r="AH211">
            <v>0</v>
          </cell>
          <cell r="AI211">
            <v>12.9</v>
          </cell>
          <cell r="AJ211">
            <v>0</v>
          </cell>
          <cell r="AK211">
            <v>5.73</v>
          </cell>
          <cell r="AL211">
            <v>0</v>
          </cell>
          <cell r="AM211">
            <v>18.630000000000003</v>
          </cell>
          <cell r="AO211" t="str">
            <v xml:space="preserve">       a.  Adult Foster Care</v>
          </cell>
          <cell r="AP211">
            <v>0</v>
          </cell>
          <cell r="AQ211">
            <v>0</v>
          </cell>
          <cell r="AR211">
            <v>0</v>
          </cell>
          <cell r="AS211">
            <v>0</v>
          </cell>
          <cell r="AT211">
            <v>0</v>
          </cell>
          <cell r="AU211">
            <v>0</v>
          </cell>
          <cell r="AW211" t="str">
            <v xml:space="preserve">       a.  Adult Foster Care</v>
          </cell>
          <cell r="AX211">
            <v>0</v>
          </cell>
          <cell r="AY211">
            <v>4</v>
          </cell>
          <cell r="AZ211">
            <v>0</v>
          </cell>
          <cell r="BA211">
            <v>0</v>
          </cell>
          <cell r="BB211">
            <v>0</v>
          </cell>
          <cell r="BC211">
            <v>4</v>
          </cell>
        </row>
        <row r="212">
          <cell r="A212" t="str">
            <v xml:space="preserve">       b.  Assisted Living Home (Adult Care Home)</v>
          </cell>
          <cell r="B212">
            <v>0</v>
          </cell>
          <cell r="C212">
            <v>44.36</v>
          </cell>
          <cell r="D212">
            <v>0</v>
          </cell>
          <cell r="E212">
            <v>1.66</v>
          </cell>
          <cell r="F212">
            <v>0</v>
          </cell>
          <cell r="G212">
            <v>46.019999999999996</v>
          </cell>
          <cell r="I212" t="str">
            <v xml:space="preserve">       b.  Assisted Living Home (Adult Care Home)</v>
          </cell>
          <cell r="J212">
            <v>0</v>
          </cell>
          <cell r="K212">
            <v>19.060000000000002</v>
          </cell>
          <cell r="L212">
            <v>0</v>
          </cell>
          <cell r="M212">
            <v>4.7</v>
          </cell>
          <cell r="N212">
            <v>0</v>
          </cell>
          <cell r="O212">
            <v>23.76</v>
          </cell>
          <cell r="Q212" t="str">
            <v xml:space="preserve">       b.  Assisted Living Home (Adult Care Home)</v>
          </cell>
          <cell r="R212">
            <v>0</v>
          </cell>
          <cell r="S212">
            <v>0</v>
          </cell>
          <cell r="T212">
            <v>0</v>
          </cell>
          <cell r="U212">
            <v>0</v>
          </cell>
          <cell r="V212">
            <v>0</v>
          </cell>
          <cell r="W212">
            <v>0</v>
          </cell>
          <cell r="Y212" t="str">
            <v xml:space="preserve">       b.  Assisted Living Home (Adult Care Home)</v>
          </cell>
          <cell r="Z212">
            <v>0</v>
          </cell>
          <cell r="AA212">
            <v>1894.61</v>
          </cell>
          <cell r="AB212">
            <v>0</v>
          </cell>
          <cell r="AC212">
            <v>120.88</v>
          </cell>
          <cell r="AD212">
            <v>0</v>
          </cell>
          <cell r="AE212">
            <v>2015.4899999999998</v>
          </cell>
          <cell r="AG212" t="str">
            <v xml:space="preserve">       b.  Assisted Living Home (Adult Care Home)</v>
          </cell>
          <cell r="AH212">
            <v>0</v>
          </cell>
          <cell r="AI212">
            <v>30.16</v>
          </cell>
          <cell r="AJ212">
            <v>0</v>
          </cell>
          <cell r="AK212">
            <v>10.3</v>
          </cell>
          <cell r="AL212">
            <v>0</v>
          </cell>
          <cell r="AM212">
            <v>40.46</v>
          </cell>
          <cell r="AO212" t="str">
            <v xml:space="preserve">       b.  Assisted Living Home (Adult Care Home)</v>
          </cell>
          <cell r="AP212">
            <v>0</v>
          </cell>
          <cell r="AQ212">
            <v>84.77</v>
          </cell>
          <cell r="AR212">
            <v>0</v>
          </cell>
          <cell r="AS212">
            <v>12</v>
          </cell>
          <cell r="AT212">
            <v>0</v>
          </cell>
          <cell r="AU212">
            <v>96.77</v>
          </cell>
          <cell r="AW212" t="str">
            <v xml:space="preserve">       b.  Assisted Living Home (Adult Care Home)</v>
          </cell>
          <cell r="AX212">
            <v>0</v>
          </cell>
          <cell r="AY212">
            <v>114.64999999999999</v>
          </cell>
          <cell r="AZ212">
            <v>0</v>
          </cell>
          <cell r="BA212">
            <v>10.27</v>
          </cell>
          <cell r="BB212">
            <v>0</v>
          </cell>
          <cell r="BC212">
            <v>124.91999999999999</v>
          </cell>
        </row>
        <row r="213">
          <cell r="A213" t="str">
            <v xml:space="preserve">       c.  Group Home (DD)</v>
          </cell>
          <cell r="B213">
            <v>0</v>
          </cell>
          <cell r="C213">
            <v>0</v>
          </cell>
          <cell r="D213">
            <v>0</v>
          </cell>
          <cell r="E213">
            <v>0</v>
          </cell>
          <cell r="F213">
            <v>0</v>
          </cell>
          <cell r="G213">
            <v>0</v>
          </cell>
          <cell r="I213" t="str">
            <v xml:space="preserve">       c.  Group Home (DD)</v>
          </cell>
          <cell r="J213">
            <v>0</v>
          </cell>
          <cell r="K213">
            <v>0</v>
          </cell>
          <cell r="L213">
            <v>0</v>
          </cell>
          <cell r="M213">
            <v>0</v>
          </cell>
          <cell r="N213">
            <v>0</v>
          </cell>
          <cell r="O213">
            <v>0</v>
          </cell>
          <cell r="Q213" t="str">
            <v xml:space="preserve">       c.  Group Home (DD)</v>
          </cell>
          <cell r="R213">
            <v>0</v>
          </cell>
          <cell r="S213">
            <v>0</v>
          </cell>
          <cell r="T213">
            <v>0</v>
          </cell>
          <cell r="U213">
            <v>0</v>
          </cell>
          <cell r="V213">
            <v>0</v>
          </cell>
          <cell r="W213">
            <v>0</v>
          </cell>
          <cell r="Y213" t="str">
            <v xml:space="preserve">       c.  Group Home (DD)</v>
          </cell>
          <cell r="Z213">
            <v>0</v>
          </cell>
          <cell r="AA213">
            <v>4.0299999999999994</v>
          </cell>
          <cell r="AB213">
            <v>0</v>
          </cell>
          <cell r="AC213">
            <v>0</v>
          </cell>
          <cell r="AD213">
            <v>0</v>
          </cell>
          <cell r="AE213">
            <v>4.0299999999999994</v>
          </cell>
          <cell r="AG213" t="str">
            <v xml:space="preserve">       c.  Group Home (DD)</v>
          </cell>
          <cell r="AH213">
            <v>0</v>
          </cell>
          <cell r="AI213">
            <v>0</v>
          </cell>
          <cell r="AJ213">
            <v>0</v>
          </cell>
          <cell r="AK213">
            <v>0</v>
          </cell>
          <cell r="AL213">
            <v>0</v>
          </cell>
          <cell r="AM213">
            <v>0</v>
          </cell>
          <cell r="AO213" t="str">
            <v xml:space="preserve">       c.  Group Home (DD)</v>
          </cell>
          <cell r="AP213">
            <v>0</v>
          </cell>
          <cell r="AQ213">
            <v>0</v>
          </cell>
          <cell r="AR213">
            <v>0</v>
          </cell>
          <cell r="AS213">
            <v>0</v>
          </cell>
          <cell r="AT213">
            <v>0</v>
          </cell>
          <cell r="AU213">
            <v>0</v>
          </cell>
          <cell r="AW213" t="str">
            <v xml:space="preserve">       c.  Group Home (DD)</v>
          </cell>
          <cell r="AX213">
            <v>0</v>
          </cell>
          <cell r="AY213">
            <v>0</v>
          </cell>
          <cell r="AZ213">
            <v>0</v>
          </cell>
          <cell r="BA213">
            <v>0</v>
          </cell>
          <cell r="BB213">
            <v>0</v>
          </cell>
          <cell r="BC213">
            <v>0</v>
          </cell>
        </row>
        <row r="214">
          <cell r="A214" t="str">
            <v xml:space="preserve">       d.  Individual Home</v>
          </cell>
          <cell r="B214">
            <v>0</v>
          </cell>
          <cell r="C214">
            <v>79.72999999999999</v>
          </cell>
          <cell r="D214">
            <v>0</v>
          </cell>
          <cell r="E214">
            <v>36.950000000000003</v>
          </cell>
          <cell r="F214">
            <v>0</v>
          </cell>
          <cell r="G214">
            <v>116.67999999999999</v>
          </cell>
          <cell r="I214" t="str">
            <v xml:space="preserve">       d.  Individual Home</v>
          </cell>
          <cell r="J214">
            <v>0</v>
          </cell>
          <cell r="K214">
            <v>104.99</v>
          </cell>
          <cell r="L214">
            <v>0</v>
          </cell>
          <cell r="M214">
            <v>45.69</v>
          </cell>
          <cell r="N214">
            <v>0</v>
          </cell>
          <cell r="O214">
            <v>150.68</v>
          </cell>
          <cell r="Q214" t="str">
            <v xml:space="preserve">       d.  Individual Home</v>
          </cell>
          <cell r="R214">
            <v>0</v>
          </cell>
          <cell r="S214">
            <v>69.900000000000006</v>
          </cell>
          <cell r="T214">
            <v>0</v>
          </cell>
          <cell r="U214">
            <v>3</v>
          </cell>
          <cell r="V214">
            <v>0</v>
          </cell>
          <cell r="W214">
            <v>72.900000000000006</v>
          </cell>
          <cell r="Y214" t="str">
            <v xml:space="preserve">       d.  Individual Home</v>
          </cell>
          <cell r="Z214">
            <v>0</v>
          </cell>
          <cell r="AA214">
            <v>1965.87</v>
          </cell>
          <cell r="AB214">
            <v>0</v>
          </cell>
          <cell r="AC214">
            <v>726.05</v>
          </cell>
          <cell r="AD214">
            <v>0</v>
          </cell>
          <cell r="AE214">
            <v>2691.92</v>
          </cell>
          <cell r="AG214" t="str">
            <v xml:space="preserve">       d.  Individual Home</v>
          </cell>
          <cell r="AH214">
            <v>0</v>
          </cell>
          <cell r="AI214">
            <v>534.37</v>
          </cell>
          <cell r="AJ214">
            <v>0</v>
          </cell>
          <cell r="AK214">
            <v>126.09</v>
          </cell>
          <cell r="AL214">
            <v>0</v>
          </cell>
          <cell r="AM214">
            <v>660.46</v>
          </cell>
          <cell r="AO214" t="str">
            <v xml:space="preserve">       d.  Individual Home</v>
          </cell>
          <cell r="AP214">
            <v>0</v>
          </cell>
          <cell r="AQ214">
            <v>196.08</v>
          </cell>
          <cell r="AR214">
            <v>0</v>
          </cell>
          <cell r="AS214">
            <v>78.42</v>
          </cell>
          <cell r="AT214">
            <v>0</v>
          </cell>
          <cell r="AU214">
            <v>274.5</v>
          </cell>
          <cell r="AW214" t="str">
            <v xml:space="preserve">       d.  Individual Home</v>
          </cell>
          <cell r="AX214">
            <v>0</v>
          </cell>
          <cell r="AY214">
            <v>336.13</v>
          </cell>
          <cell r="AZ214">
            <v>0</v>
          </cell>
          <cell r="BA214">
            <v>124.83999999999999</v>
          </cell>
          <cell r="BB214">
            <v>0</v>
          </cell>
          <cell r="BC214">
            <v>460.96999999999997</v>
          </cell>
        </row>
        <row r="215">
          <cell r="A215" t="str">
            <v xml:space="preserve">       e.  Assisted Living Centers (SRL)</v>
          </cell>
          <cell r="B215">
            <v>0</v>
          </cell>
          <cell r="C215">
            <v>3.3200000000000003</v>
          </cell>
          <cell r="D215">
            <v>0</v>
          </cell>
          <cell r="E215">
            <v>3</v>
          </cell>
          <cell r="F215">
            <v>0</v>
          </cell>
          <cell r="G215">
            <v>6.32</v>
          </cell>
          <cell r="I215" t="str">
            <v xml:space="preserve">       e.  Assisted Living Centers (SRL)</v>
          </cell>
          <cell r="J215">
            <v>0</v>
          </cell>
          <cell r="K215">
            <v>144.38999999999999</v>
          </cell>
          <cell r="L215">
            <v>0</v>
          </cell>
          <cell r="M215">
            <v>8.17</v>
          </cell>
          <cell r="N215">
            <v>0</v>
          </cell>
          <cell r="O215">
            <v>152.55999999999997</v>
          </cell>
          <cell r="Q215" t="str">
            <v xml:space="preserve">       e.  Assisted Living Centers (SRL)</v>
          </cell>
          <cell r="R215">
            <v>0</v>
          </cell>
          <cell r="S215">
            <v>8.65</v>
          </cell>
          <cell r="T215">
            <v>0</v>
          </cell>
          <cell r="U215">
            <v>0</v>
          </cell>
          <cell r="V215">
            <v>0</v>
          </cell>
          <cell r="W215">
            <v>8.65</v>
          </cell>
          <cell r="Y215" t="str">
            <v xml:space="preserve">       e.  Assisted Living Centers (SRL)</v>
          </cell>
          <cell r="Z215">
            <v>0</v>
          </cell>
          <cell r="AA215">
            <v>2157.25</v>
          </cell>
          <cell r="AB215">
            <v>0</v>
          </cell>
          <cell r="AC215">
            <v>134.42000000000002</v>
          </cell>
          <cell r="AD215">
            <v>0</v>
          </cell>
          <cell r="AE215">
            <v>2291.67</v>
          </cell>
          <cell r="AG215" t="str">
            <v xml:space="preserve">       e.  Assisted Living Centers (SRL)</v>
          </cell>
          <cell r="AH215">
            <v>0</v>
          </cell>
          <cell r="AI215">
            <v>365.73</v>
          </cell>
          <cell r="AJ215">
            <v>0</v>
          </cell>
          <cell r="AK215">
            <v>51.73</v>
          </cell>
          <cell r="AL215">
            <v>0</v>
          </cell>
          <cell r="AM215">
            <v>417.46000000000004</v>
          </cell>
          <cell r="AO215" t="str">
            <v xml:space="preserve">       e.  Assisted Living Centers (SRL)</v>
          </cell>
          <cell r="AP215">
            <v>0</v>
          </cell>
          <cell r="AQ215">
            <v>57.95</v>
          </cell>
          <cell r="AR215">
            <v>0</v>
          </cell>
          <cell r="AS215">
            <v>9.8000000000000007</v>
          </cell>
          <cell r="AT215">
            <v>0</v>
          </cell>
          <cell r="AU215">
            <v>67.75</v>
          </cell>
          <cell r="AW215" t="str">
            <v xml:space="preserve">       e.  Assisted Living Centers (SRL)</v>
          </cell>
          <cell r="AX215">
            <v>0</v>
          </cell>
          <cell r="AY215">
            <v>144.34</v>
          </cell>
          <cell r="AZ215">
            <v>0</v>
          </cell>
          <cell r="BA215">
            <v>16.86</v>
          </cell>
          <cell r="BB215">
            <v>0</v>
          </cell>
          <cell r="BC215">
            <v>161.19999999999999</v>
          </cell>
        </row>
        <row r="216">
          <cell r="A216" t="str">
            <v xml:space="preserve">       f.  Other (Hospice)</v>
          </cell>
          <cell r="B216">
            <v>0</v>
          </cell>
          <cell r="C216">
            <v>17.420000000000002</v>
          </cell>
          <cell r="D216">
            <v>0</v>
          </cell>
          <cell r="E216">
            <v>0</v>
          </cell>
          <cell r="F216">
            <v>0</v>
          </cell>
          <cell r="G216">
            <v>17.420000000000002</v>
          </cell>
          <cell r="I216" t="str">
            <v xml:space="preserve">       f.  Other (Hospice)</v>
          </cell>
          <cell r="J216">
            <v>0</v>
          </cell>
          <cell r="K216">
            <v>1.9100000000000001</v>
          </cell>
          <cell r="L216">
            <v>0</v>
          </cell>
          <cell r="M216">
            <v>0</v>
          </cell>
          <cell r="N216">
            <v>0</v>
          </cell>
          <cell r="O216">
            <v>1.9100000000000001</v>
          </cell>
          <cell r="Q216" t="str">
            <v xml:space="preserve">       f.  Other (Hospice)</v>
          </cell>
          <cell r="R216">
            <v>0</v>
          </cell>
          <cell r="S216">
            <v>0</v>
          </cell>
          <cell r="T216">
            <v>0</v>
          </cell>
          <cell r="U216">
            <v>3</v>
          </cell>
          <cell r="V216">
            <v>0</v>
          </cell>
          <cell r="W216">
            <v>3</v>
          </cell>
          <cell r="Y216" t="str">
            <v xml:space="preserve">       f.  Other (Hospice)</v>
          </cell>
          <cell r="Z216">
            <v>0</v>
          </cell>
          <cell r="AA216">
            <v>287.98</v>
          </cell>
          <cell r="AB216">
            <v>0</v>
          </cell>
          <cell r="AC216">
            <v>6.83</v>
          </cell>
          <cell r="AD216">
            <v>0</v>
          </cell>
          <cell r="AE216">
            <v>294.81</v>
          </cell>
          <cell r="AG216" t="str">
            <v xml:space="preserve">       f.  Other (Hospice)</v>
          </cell>
          <cell r="AH216">
            <v>0</v>
          </cell>
          <cell r="AI216">
            <v>4.0600000000000005</v>
          </cell>
          <cell r="AJ216">
            <v>0</v>
          </cell>
          <cell r="AK216">
            <v>0</v>
          </cell>
          <cell r="AL216">
            <v>0</v>
          </cell>
          <cell r="AM216">
            <v>4.0600000000000005</v>
          </cell>
          <cell r="AO216" t="str">
            <v xml:space="preserve">       f.  Other (Hospice)</v>
          </cell>
          <cell r="AP216">
            <v>0</v>
          </cell>
          <cell r="AQ216">
            <v>16.420000000000002</v>
          </cell>
          <cell r="AR216">
            <v>0</v>
          </cell>
          <cell r="AS216">
            <v>6.49</v>
          </cell>
          <cell r="AT216">
            <v>0</v>
          </cell>
          <cell r="AU216">
            <v>22.910000000000004</v>
          </cell>
          <cell r="AW216" t="str">
            <v xml:space="preserve">       f.  Other (Hospice)</v>
          </cell>
          <cell r="AX216">
            <v>0</v>
          </cell>
          <cell r="AY216">
            <v>25.36</v>
          </cell>
          <cell r="AZ216">
            <v>0</v>
          </cell>
          <cell r="BA216">
            <v>1.9</v>
          </cell>
          <cell r="BB216">
            <v>0</v>
          </cell>
          <cell r="BC216">
            <v>27.259999999999998</v>
          </cell>
        </row>
        <row r="217">
          <cell r="A217" t="str">
            <v xml:space="preserve">       g.  Attendant Care</v>
          </cell>
          <cell r="B217">
            <v>0</v>
          </cell>
          <cell r="C217">
            <v>48.48</v>
          </cell>
          <cell r="D217">
            <v>0</v>
          </cell>
          <cell r="E217">
            <v>9</v>
          </cell>
          <cell r="F217">
            <v>0</v>
          </cell>
          <cell r="G217">
            <v>57.48</v>
          </cell>
          <cell r="I217" t="str">
            <v xml:space="preserve">       g.  Attendant Care</v>
          </cell>
          <cell r="J217">
            <v>0</v>
          </cell>
          <cell r="K217">
            <v>68.13</v>
          </cell>
          <cell r="L217">
            <v>0</v>
          </cell>
          <cell r="M217">
            <v>28.619999999999997</v>
          </cell>
          <cell r="N217">
            <v>0</v>
          </cell>
          <cell r="O217">
            <v>96.75</v>
          </cell>
          <cell r="Q217" t="str">
            <v xml:space="preserve">       g.  Attendant Care</v>
          </cell>
          <cell r="R217">
            <v>0</v>
          </cell>
          <cell r="S217">
            <v>17</v>
          </cell>
          <cell r="T217">
            <v>0</v>
          </cell>
          <cell r="U217">
            <v>8.07</v>
          </cell>
          <cell r="V217">
            <v>0</v>
          </cell>
          <cell r="W217">
            <v>25.07</v>
          </cell>
          <cell r="Y217" t="str">
            <v xml:space="preserve">       g.  Attendant Care</v>
          </cell>
          <cell r="Z217">
            <v>0</v>
          </cell>
          <cell r="AA217">
            <v>2083.3200000000002</v>
          </cell>
          <cell r="AB217">
            <v>0</v>
          </cell>
          <cell r="AC217">
            <v>496.35</v>
          </cell>
          <cell r="AD217">
            <v>0</v>
          </cell>
          <cell r="AE217">
            <v>2579.67</v>
          </cell>
          <cell r="AG217" t="str">
            <v xml:space="preserve">       g.  Attendant Care</v>
          </cell>
          <cell r="AH217">
            <v>0</v>
          </cell>
          <cell r="AI217">
            <v>378.56</v>
          </cell>
          <cell r="AJ217">
            <v>0</v>
          </cell>
          <cell r="AK217">
            <v>57.490000000000009</v>
          </cell>
          <cell r="AL217">
            <v>0</v>
          </cell>
          <cell r="AM217">
            <v>436.05</v>
          </cell>
          <cell r="AO217" t="str">
            <v xml:space="preserve">       g.  Attendant Care</v>
          </cell>
          <cell r="AP217">
            <v>0</v>
          </cell>
          <cell r="AQ217">
            <v>124.47</v>
          </cell>
          <cell r="AR217">
            <v>0</v>
          </cell>
          <cell r="AS217">
            <v>29</v>
          </cell>
          <cell r="AT217">
            <v>0</v>
          </cell>
          <cell r="AU217">
            <v>153.47</v>
          </cell>
          <cell r="AW217" t="str">
            <v xml:space="preserve">       g.  Attendant Care</v>
          </cell>
          <cell r="AX217">
            <v>0</v>
          </cell>
          <cell r="AY217">
            <v>397.32000000000005</v>
          </cell>
          <cell r="AZ217">
            <v>0</v>
          </cell>
          <cell r="BA217">
            <v>105.08000000000001</v>
          </cell>
          <cell r="BB217">
            <v>0</v>
          </cell>
          <cell r="BC217">
            <v>502.40000000000009</v>
          </cell>
        </row>
        <row r="218">
          <cell r="A218" t="str">
            <v xml:space="preserve">   8.  Acute Care</v>
          </cell>
          <cell r="B218">
            <v>0</v>
          </cell>
          <cell r="C218">
            <v>3.2</v>
          </cell>
          <cell r="D218">
            <v>0</v>
          </cell>
          <cell r="E218">
            <v>0</v>
          </cell>
          <cell r="F218">
            <v>0</v>
          </cell>
          <cell r="G218">
            <v>3.2</v>
          </cell>
          <cell r="I218" t="str">
            <v xml:space="preserve">   8.  Acute Care</v>
          </cell>
          <cell r="J218">
            <v>0</v>
          </cell>
          <cell r="K218">
            <v>11</v>
          </cell>
          <cell r="L218">
            <v>0</v>
          </cell>
          <cell r="M218">
            <v>6.0299999999999994</v>
          </cell>
          <cell r="N218">
            <v>0</v>
          </cell>
          <cell r="O218">
            <v>17.03</v>
          </cell>
          <cell r="Q218" t="str">
            <v xml:space="preserve">   8.  Acute Care</v>
          </cell>
          <cell r="R218">
            <v>0</v>
          </cell>
          <cell r="S218">
            <v>7.5299999999999994</v>
          </cell>
          <cell r="T218">
            <v>0</v>
          </cell>
          <cell r="U218">
            <v>0</v>
          </cell>
          <cell r="V218">
            <v>0</v>
          </cell>
          <cell r="W218">
            <v>7.5299999999999994</v>
          </cell>
          <cell r="Y218" t="str">
            <v xml:space="preserve">   8.  Acute Care</v>
          </cell>
          <cell r="Z218">
            <v>0</v>
          </cell>
          <cell r="AA218">
            <v>114.88</v>
          </cell>
          <cell r="AB218">
            <v>0</v>
          </cell>
          <cell r="AC218">
            <v>85.009999999999991</v>
          </cell>
          <cell r="AD218">
            <v>0</v>
          </cell>
          <cell r="AE218">
            <v>199.89</v>
          </cell>
          <cell r="AG218" t="str">
            <v xml:space="preserve">   8.  Acute Care</v>
          </cell>
          <cell r="AH218">
            <v>0</v>
          </cell>
          <cell r="AI218">
            <v>6.9</v>
          </cell>
          <cell r="AJ218">
            <v>0</v>
          </cell>
          <cell r="AK218">
            <v>0</v>
          </cell>
          <cell r="AL218">
            <v>0</v>
          </cell>
          <cell r="AM218">
            <v>6.9</v>
          </cell>
          <cell r="AO218" t="str">
            <v xml:space="preserve">   8.  Acute Care</v>
          </cell>
          <cell r="AP218">
            <v>0</v>
          </cell>
          <cell r="AQ218">
            <v>4.57</v>
          </cell>
          <cell r="AR218">
            <v>0</v>
          </cell>
          <cell r="AS218">
            <v>0</v>
          </cell>
          <cell r="AT218">
            <v>0</v>
          </cell>
          <cell r="AU218">
            <v>4.57</v>
          </cell>
          <cell r="AW218" t="str">
            <v xml:space="preserve">   8.  Acute Care</v>
          </cell>
          <cell r="AX218">
            <v>0</v>
          </cell>
          <cell r="AY218">
            <v>5</v>
          </cell>
          <cell r="AZ218">
            <v>0</v>
          </cell>
          <cell r="BA218">
            <v>5</v>
          </cell>
          <cell r="BB218">
            <v>0</v>
          </cell>
          <cell r="BC218">
            <v>10</v>
          </cell>
        </row>
        <row r="219">
          <cell r="A219" t="str">
            <v xml:space="preserve">   9.  Ventilator</v>
          </cell>
          <cell r="B219">
            <v>0</v>
          </cell>
          <cell r="C219">
            <v>0</v>
          </cell>
          <cell r="D219">
            <v>0</v>
          </cell>
          <cell r="E219">
            <v>0</v>
          </cell>
          <cell r="F219">
            <v>0</v>
          </cell>
          <cell r="G219">
            <v>0</v>
          </cell>
          <cell r="I219" t="str">
            <v xml:space="preserve">   9.  Ventilator</v>
          </cell>
          <cell r="J219">
            <v>0</v>
          </cell>
          <cell r="K219">
            <v>0</v>
          </cell>
          <cell r="L219">
            <v>0</v>
          </cell>
          <cell r="M219">
            <v>3</v>
          </cell>
          <cell r="N219">
            <v>0</v>
          </cell>
          <cell r="O219">
            <v>3</v>
          </cell>
          <cell r="Q219" t="str">
            <v xml:space="preserve">   9.  Ventilator</v>
          </cell>
          <cell r="R219">
            <v>0</v>
          </cell>
          <cell r="S219">
            <v>0</v>
          </cell>
          <cell r="T219">
            <v>0</v>
          </cell>
          <cell r="U219">
            <v>0</v>
          </cell>
          <cell r="V219">
            <v>0</v>
          </cell>
          <cell r="W219">
            <v>0</v>
          </cell>
          <cell r="Y219" t="str">
            <v xml:space="preserve">   9.  Ventilator</v>
          </cell>
          <cell r="Z219">
            <v>0</v>
          </cell>
          <cell r="AA219">
            <v>64.25</v>
          </cell>
          <cell r="AB219">
            <v>0</v>
          </cell>
          <cell r="AC219">
            <v>56.510000000000005</v>
          </cell>
          <cell r="AD219">
            <v>0</v>
          </cell>
          <cell r="AE219">
            <v>120.76</v>
          </cell>
          <cell r="AG219" t="str">
            <v xml:space="preserve">   9.  Ventilator</v>
          </cell>
          <cell r="AH219">
            <v>0</v>
          </cell>
          <cell r="AI219">
            <v>4</v>
          </cell>
          <cell r="AJ219">
            <v>0</v>
          </cell>
          <cell r="AK219">
            <v>0</v>
          </cell>
          <cell r="AL219">
            <v>0</v>
          </cell>
          <cell r="AM219">
            <v>4</v>
          </cell>
          <cell r="AO219" t="str">
            <v xml:space="preserve">   9.  Ventilator</v>
          </cell>
          <cell r="AP219">
            <v>0</v>
          </cell>
          <cell r="AQ219">
            <v>4</v>
          </cell>
          <cell r="AR219">
            <v>0</v>
          </cell>
          <cell r="AS219">
            <v>3</v>
          </cell>
          <cell r="AT219">
            <v>0</v>
          </cell>
          <cell r="AU219">
            <v>7</v>
          </cell>
          <cell r="AW219" t="str">
            <v xml:space="preserve">   9.  Ventilator</v>
          </cell>
          <cell r="AX219">
            <v>0</v>
          </cell>
          <cell r="AY219">
            <v>0</v>
          </cell>
          <cell r="AZ219">
            <v>0</v>
          </cell>
          <cell r="BA219">
            <v>3</v>
          </cell>
          <cell r="BB219">
            <v>0</v>
          </cell>
          <cell r="BC219">
            <v>3</v>
          </cell>
        </row>
        <row r="220">
          <cell r="A220" t="str">
            <v xml:space="preserve">  10.  Prior Period</v>
          </cell>
          <cell r="B220">
            <v>0</v>
          </cell>
          <cell r="C220">
            <v>1.9666999999999999</v>
          </cell>
          <cell r="D220">
            <v>0</v>
          </cell>
          <cell r="E220">
            <v>0</v>
          </cell>
          <cell r="F220">
            <v>0</v>
          </cell>
          <cell r="G220">
            <v>1.9666999999999999</v>
          </cell>
          <cell r="I220" t="str">
            <v xml:space="preserve">  10.  Prior Period</v>
          </cell>
          <cell r="J220">
            <v>0</v>
          </cell>
          <cell r="K220">
            <v>16.677399999999999</v>
          </cell>
          <cell r="L220">
            <v>0</v>
          </cell>
          <cell r="M220">
            <v>4.9333</v>
          </cell>
          <cell r="N220">
            <v>0</v>
          </cell>
          <cell r="O220">
            <v>21.610699999999998</v>
          </cell>
          <cell r="Q220" t="str">
            <v xml:space="preserve">  10.  Prior Period</v>
          </cell>
          <cell r="R220">
            <v>0</v>
          </cell>
          <cell r="S220">
            <v>19.161200000000001</v>
          </cell>
          <cell r="T220">
            <v>0</v>
          </cell>
          <cell r="U220">
            <v>0</v>
          </cell>
          <cell r="V220">
            <v>0</v>
          </cell>
          <cell r="W220">
            <v>19.161200000000001</v>
          </cell>
          <cell r="Y220" t="str">
            <v xml:space="preserve">  10.  Prior Period</v>
          </cell>
          <cell r="Z220">
            <v>0</v>
          </cell>
          <cell r="AA220">
            <v>506.45180000000005</v>
          </cell>
          <cell r="AB220">
            <v>0</v>
          </cell>
          <cell r="AC220">
            <v>36.459099999999999</v>
          </cell>
          <cell r="AD220">
            <v>0</v>
          </cell>
          <cell r="AE220">
            <v>542.91090000000008</v>
          </cell>
          <cell r="AG220" t="str">
            <v xml:space="preserve">  10.  Prior Period</v>
          </cell>
          <cell r="AH220">
            <v>0</v>
          </cell>
          <cell r="AI220">
            <v>80.073099999999997</v>
          </cell>
          <cell r="AJ220">
            <v>0</v>
          </cell>
          <cell r="AK220">
            <v>9.0333000000000006</v>
          </cell>
          <cell r="AL220">
            <v>0</v>
          </cell>
          <cell r="AM220">
            <v>89.106399999999994</v>
          </cell>
          <cell r="AO220" t="str">
            <v xml:space="preserve">  10.  Prior Period</v>
          </cell>
          <cell r="AP220">
            <v>0</v>
          </cell>
          <cell r="AQ220">
            <v>21.099999999999998</v>
          </cell>
          <cell r="AR220">
            <v>0</v>
          </cell>
          <cell r="AS220">
            <v>3.2300000000000002E-2</v>
          </cell>
          <cell r="AT220">
            <v>0</v>
          </cell>
          <cell r="AU220">
            <v>21.132299999999997</v>
          </cell>
          <cell r="AW220" t="str">
            <v xml:space="preserve">  10.  Prior Period</v>
          </cell>
          <cell r="AX220">
            <v>0</v>
          </cell>
          <cell r="AY220">
            <v>39.611800000000002</v>
          </cell>
          <cell r="AZ220">
            <v>0</v>
          </cell>
          <cell r="BA220">
            <v>0</v>
          </cell>
          <cell r="BB220">
            <v>0</v>
          </cell>
          <cell r="BC220">
            <v>39.611800000000002</v>
          </cell>
        </row>
        <row r="221">
          <cell r="A221" t="str">
            <v xml:space="preserve">  11.  Other - Not Placed</v>
          </cell>
          <cell r="B221">
            <v>0</v>
          </cell>
          <cell r="C221">
            <v>-23.29</v>
          </cell>
          <cell r="D221">
            <v>0</v>
          </cell>
          <cell r="E221">
            <v>-7</v>
          </cell>
          <cell r="F221">
            <v>0</v>
          </cell>
          <cell r="G221">
            <v>-30.29</v>
          </cell>
          <cell r="I221" t="str">
            <v xml:space="preserve">  11.  Other - Not Placed</v>
          </cell>
          <cell r="J221">
            <v>0</v>
          </cell>
          <cell r="K221">
            <v>-42.91</v>
          </cell>
          <cell r="L221">
            <v>0</v>
          </cell>
          <cell r="M221">
            <v>-4.43</v>
          </cell>
          <cell r="N221">
            <v>0</v>
          </cell>
          <cell r="O221">
            <v>-47.339999999999996</v>
          </cell>
          <cell r="Q221" t="str">
            <v xml:space="preserve">  11.  Other - Not Placed</v>
          </cell>
          <cell r="R221">
            <v>0</v>
          </cell>
          <cell r="S221">
            <v>-22.83</v>
          </cell>
          <cell r="T221">
            <v>0</v>
          </cell>
          <cell r="U221">
            <v>0</v>
          </cell>
          <cell r="V221">
            <v>0</v>
          </cell>
          <cell r="W221">
            <v>-22.83</v>
          </cell>
          <cell r="Y221" t="str">
            <v xml:space="preserve">  11.  Other - Not Placed</v>
          </cell>
          <cell r="Z221">
            <v>0</v>
          </cell>
          <cell r="AA221">
            <v>-1251.3499999999979</v>
          </cell>
          <cell r="AB221">
            <v>0</v>
          </cell>
          <cell r="AC221">
            <v>-184.51999999999998</v>
          </cell>
          <cell r="AD221">
            <v>0</v>
          </cell>
          <cell r="AE221">
            <v>-1435.8699999999978</v>
          </cell>
          <cell r="AG221" t="str">
            <v xml:space="preserve">  11.  Other - Not Placed</v>
          </cell>
          <cell r="AH221">
            <v>0</v>
          </cell>
          <cell r="AI221">
            <v>-294.55</v>
          </cell>
          <cell r="AJ221">
            <v>0</v>
          </cell>
          <cell r="AK221">
            <v>-14.290000000000001</v>
          </cell>
          <cell r="AL221">
            <v>0</v>
          </cell>
          <cell r="AM221">
            <v>-308.84000000000003</v>
          </cell>
          <cell r="AO221" t="str">
            <v xml:space="preserve">  11.  Other - Not Placed</v>
          </cell>
          <cell r="AP221">
            <v>0</v>
          </cell>
          <cell r="AQ221">
            <v>-31.769999999999996</v>
          </cell>
          <cell r="AR221">
            <v>0</v>
          </cell>
          <cell r="AS221">
            <v>-18.259999999999998</v>
          </cell>
          <cell r="AT221">
            <v>0</v>
          </cell>
          <cell r="AU221">
            <v>-50.029999999999994</v>
          </cell>
          <cell r="AW221" t="str">
            <v xml:space="preserve">  11.  Other - Not Placed</v>
          </cell>
          <cell r="AX221">
            <v>0</v>
          </cell>
          <cell r="AY221">
            <v>-270.71000000000004</v>
          </cell>
          <cell r="AZ221">
            <v>0</v>
          </cell>
          <cell r="BA221">
            <v>-48.54</v>
          </cell>
          <cell r="BB221">
            <v>0</v>
          </cell>
          <cell r="BC221">
            <v>-319.25000000000006</v>
          </cell>
        </row>
        <row r="223">
          <cell r="A223" t="str">
            <v>C.   Acute Patient Day Information</v>
          </cell>
          <cell r="I223" t="str">
            <v>C.   Acute Patient Day Information</v>
          </cell>
          <cell r="Q223" t="str">
            <v>C.   Acute Patient Day Information</v>
          </cell>
          <cell r="Y223" t="str">
            <v>C.   Acute Patient Day Information</v>
          </cell>
          <cell r="AG223" t="str">
            <v>C.   Acute Patient Day Information</v>
          </cell>
          <cell r="AO223" t="str">
            <v>C.   Acute Patient Day Information</v>
          </cell>
          <cell r="AW223" t="str">
            <v>C.   Acute Patient Day Information</v>
          </cell>
        </row>
        <row r="224">
          <cell r="A224" t="str">
            <v xml:space="preserve">       a.  Admissions</v>
          </cell>
          <cell r="B224">
            <v>0</v>
          </cell>
          <cell r="C224">
            <v>16</v>
          </cell>
          <cell r="D224">
            <v>0</v>
          </cell>
          <cell r="E224">
            <v>2</v>
          </cell>
          <cell r="F224">
            <v>0</v>
          </cell>
          <cell r="G224">
            <v>18</v>
          </cell>
          <cell r="I224" t="str">
            <v xml:space="preserve">       a.  Admissions</v>
          </cell>
          <cell r="J224">
            <v>0</v>
          </cell>
          <cell r="K224">
            <v>28</v>
          </cell>
          <cell r="L224">
            <v>0</v>
          </cell>
          <cell r="M224">
            <v>10</v>
          </cell>
          <cell r="N224">
            <v>0</v>
          </cell>
          <cell r="O224">
            <v>38</v>
          </cell>
          <cell r="Q224" t="str">
            <v xml:space="preserve">       a.  Admissions</v>
          </cell>
          <cell r="R224">
            <v>0</v>
          </cell>
          <cell r="S224">
            <v>17</v>
          </cell>
          <cell r="T224">
            <v>0</v>
          </cell>
          <cell r="U224">
            <v>2</v>
          </cell>
          <cell r="V224">
            <v>0</v>
          </cell>
          <cell r="W224">
            <v>19</v>
          </cell>
          <cell r="Y224" t="str">
            <v xml:space="preserve">       a.  Admissions</v>
          </cell>
          <cell r="Z224">
            <v>0</v>
          </cell>
          <cell r="AA224">
            <v>789</v>
          </cell>
          <cell r="AB224">
            <v>0</v>
          </cell>
          <cell r="AC224">
            <v>142</v>
          </cell>
          <cell r="AD224">
            <v>0</v>
          </cell>
          <cell r="AE224">
            <v>931</v>
          </cell>
          <cell r="AG224" t="str">
            <v xml:space="preserve">       a.  Admissions</v>
          </cell>
          <cell r="AH224">
            <v>0</v>
          </cell>
          <cell r="AI224">
            <v>125</v>
          </cell>
          <cell r="AJ224">
            <v>0</v>
          </cell>
          <cell r="AK224">
            <v>34</v>
          </cell>
          <cell r="AL224">
            <v>0</v>
          </cell>
          <cell r="AM224">
            <v>159</v>
          </cell>
          <cell r="AO224" t="str">
            <v xml:space="preserve">       a.  Admissions</v>
          </cell>
          <cell r="AP224">
            <v>0</v>
          </cell>
          <cell r="AQ224">
            <v>34</v>
          </cell>
          <cell r="AR224">
            <v>0</v>
          </cell>
          <cell r="AS224">
            <v>7</v>
          </cell>
          <cell r="AT224">
            <v>0</v>
          </cell>
          <cell r="AU224">
            <v>41</v>
          </cell>
          <cell r="AW224" t="str">
            <v xml:space="preserve">       a.  Admissions</v>
          </cell>
          <cell r="AX224">
            <v>0</v>
          </cell>
          <cell r="AY224">
            <v>112</v>
          </cell>
          <cell r="AZ224">
            <v>0</v>
          </cell>
          <cell r="BA224">
            <v>14</v>
          </cell>
          <cell r="BB224">
            <v>0</v>
          </cell>
          <cell r="BC224">
            <v>126</v>
          </cell>
        </row>
        <row r="225">
          <cell r="A225" t="str">
            <v xml:space="preserve">       b.  Patient Days</v>
          </cell>
          <cell r="B225">
            <v>0</v>
          </cell>
          <cell r="C225">
            <v>76</v>
          </cell>
          <cell r="D225">
            <v>0</v>
          </cell>
          <cell r="E225">
            <v>11</v>
          </cell>
          <cell r="F225">
            <v>0</v>
          </cell>
          <cell r="G225">
            <v>87</v>
          </cell>
          <cell r="I225" t="str">
            <v xml:space="preserve">       b.  Patient Days</v>
          </cell>
          <cell r="J225">
            <v>0</v>
          </cell>
          <cell r="K225">
            <v>170</v>
          </cell>
          <cell r="L225">
            <v>0</v>
          </cell>
          <cell r="M225">
            <v>63</v>
          </cell>
          <cell r="N225">
            <v>0</v>
          </cell>
          <cell r="O225">
            <v>233</v>
          </cell>
          <cell r="Q225" t="str">
            <v xml:space="preserve">       b.  Patient Days</v>
          </cell>
          <cell r="R225">
            <v>0</v>
          </cell>
          <cell r="S225">
            <v>95</v>
          </cell>
          <cell r="T225">
            <v>0</v>
          </cell>
          <cell r="U225">
            <v>6</v>
          </cell>
          <cell r="V225">
            <v>0</v>
          </cell>
          <cell r="W225">
            <v>101</v>
          </cell>
          <cell r="Y225" t="str">
            <v xml:space="preserve">       b.  Patient Days</v>
          </cell>
          <cell r="Z225">
            <v>0</v>
          </cell>
          <cell r="AA225">
            <v>4179</v>
          </cell>
          <cell r="AB225">
            <v>0</v>
          </cell>
          <cell r="AC225">
            <v>826</v>
          </cell>
          <cell r="AD225">
            <v>0</v>
          </cell>
          <cell r="AE225">
            <v>5005</v>
          </cell>
          <cell r="AG225" t="str">
            <v xml:space="preserve">       b.  Patient Days</v>
          </cell>
          <cell r="AH225">
            <v>0</v>
          </cell>
          <cell r="AI225">
            <v>727</v>
          </cell>
          <cell r="AJ225">
            <v>0</v>
          </cell>
          <cell r="AK225">
            <v>221</v>
          </cell>
          <cell r="AL225">
            <v>0</v>
          </cell>
          <cell r="AM225">
            <v>948</v>
          </cell>
          <cell r="AO225" t="str">
            <v xml:space="preserve">       b.  Patient Days</v>
          </cell>
          <cell r="AP225">
            <v>0</v>
          </cell>
          <cell r="AQ225">
            <v>165</v>
          </cell>
          <cell r="AR225">
            <v>0</v>
          </cell>
          <cell r="AS225">
            <v>52</v>
          </cell>
          <cell r="AT225">
            <v>0</v>
          </cell>
          <cell r="AU225">
            <v>217</v>
          </cell>
          <cell r="AW225" t="str">
            <v xml:space="preserve">       b.  Patient Days</v>
          </cell>
          <cell r="AX225">
            <v>0</v>
          </cell>
          <cell r="AY225">
            <v>682</v>
          </cell>
          <cell r="AZ225">
            <v>0</v>
          </cell>
          <cell r="BA225">
            <v>52</v>
          </cell>
          <cell r="BB225">
            <v>0</v>
          </cell>
          <cell r="BC225">
            <v>734</v>
          </cell>
        </row>
        <row r="226">
          <cell r="A226" t="str">
            <v xml:space="preserve">       c.  Discharges</v>
          </cell>
          <cell r="B226">
            <v>0</v>
          </cell>
          <cell r="C226">
            <v>18</v>
          </cell>
          <cell r="D226">
            <v>0</v>
          </cell>
          <cell r="E226">
            <v>2</v>
          </cell>
          <cell r="F226">
            <v>0</v>
          </cell>
          <cell r="G226">
            <v>20</v>
          </cell>
          <cell r="I226" t="str">
            <v xml:space="preserve">       c.  Discharges</v>
          </cell>
          <cell r="J226">
            <v>0</v>
          </cell>
          <cell r="K226">
            <v>26</v>
          </cell>
          <cell r="L226">
            <v>0</v>
          </cell>
          <cell r="M226">
            <v>10</v>
          </cell>
          <cell r="N226">
            <v>0</v>
          </cell>
          <cell r="O226">
            <v>36</v>
          </cell>
          <cell r="Q226" t="str">
            <v xml:space="preserve">       c.  Discharges</v>
          </cell>
          <cell r="R226">
            <v>0</v>
          </cell>
          <cell r="S226">
            <v>13</v>
          </cell>
          <cell r="T226">
            <v>0</v>
          </cell>
          <cell r="U226">
            <v>2</v>
          </cell>
          <cell r="V226">
            <v>0</v>
          </cell>
          <cell r="W226">
            <v>15</v>
          </cell>
          <cell r="Y226" t="str">
            <v xml:space="preserve">       c.  Discharges</v>
          </cell>
          <cell r="Z226">
            <v>0</v>
          </cell>
          <cell r="AA226">
            <v>749</v>
          </cell>
          <cell r="AB226">
            <v>0</v>
          </cell>
          <cell r="AC226">
            <v>136</v>
          </cell>
          <cell r="AD226">
            <v>0</v>
          </cell>
          <cell r="AE226">
            <v>885</v>
          </cell>
          <cell r="AG226" t="str">
            <v xml:space="preserve">       c.  Discharges</v>
          </cell>
          <cell r="AH226">
            <v>0</v>
          </cell>
          <cell r="AI226">
            <v>119</v>
          </cell>
          <cell r="AJ226">
            <v>0</v>
          </cell>
          <cell r="AK226">
            <v>28</v>
          </cell>
          <cell r="AL226">
            <v>0</v>
          </cell>
          <cell r="AM226">
            <v>147</v>
          </cell>
          <cell r="AO226" t="str">
            <v xml:space="preserve">       c.  Discharges</v>
          </cell>
          <cell r="AP226">
            <v>0</v>
          </cell>
          <cell r="AQ226">
            <v>31</v>
          </cell>
          <cell r="AR226">
            <v>0</v>
          </cell>
          <cell r="AS226">
            <v>7</v>
          </cell>
          <cell r="AT226">
            <v>0</v>
          </cell>
          <cell r="AU226">
            <v>38</v>
          </cell>
          <cell r="AW226" t="str">
            <v xml:space="preserve">       c.  Discharges</v>
          </cell>
          <cell r="AX226">
            <v>0</v>
          </cell>
          <cell r="AY226">
            <v>113</v>
          </cell>
          <cell r="AZ226">
            <v>0</v>
          </cell>
          <cell r="BA226">
            <v>13</v>
          </cell>
          <cell r="BB226">
            <v>0</v>
          </cell>
          <cell r="BC226">
            <v>126</v>
          </cell>
        </row>
        <row r="227">
          <cell r="A227" t="str">
            <v xml:space="preserve">       d.  Discharge Days</v>
          </cell>
          <cell r="B227">
            <v>0</v>
          </cell>
          <cell r="C227">
            <v>76</v>
          </cell>
          <cell r="D227">
            <v>0</v>
          </cell>
          <cell r="E227">
            <v>11</v>
          </cell>
          <cell r="F227">
            <v>0</v>
          </cell>
          <cell r="G227">
            <v>87</v>
          </cell>
          <cell r="I227" t="str">
            <v xml:space="preserve">       d.  Discharge Days</v>
          </cell>
          <cell r="J227">
            <v>0</v>
          </cell>
          <cell r="K227">
            <v>131</v>
          </cell>
          <cell r="L227">
            <v>0</v>
          </cell>
          <cell r="M227">
            <v>58</v>
          </cell>
          <cell r="N227">
            <v>0</v>
          </cell>
          <cell r="O227">
            <v>189</v>
          </cell>
          <cell r="Q227" t="str">
            <v xml:space="preserve">       d.  Discharge Days</v>
          </cell>
          <cell r="R227">
            <v>0</v>
          </cell>
          <cell r="S227">
            <v>65</v>
          </cell>
          <cell r="T227">
            <v>0</v>
          </cell>
          <cell r="U227">
            <v>6</v>
          </cell>
          <cell r="V227">
            <v>0</v>
          </cell>
          <cell r="W227">
            <v>71</v>
          </cell>
          <cell r="Y227" t="str">
            <v xml:space="preserve">       d.  Discharge Days</v>
          </cell>
          <cell r="Z227">
            <v>0</v>
          </cell>
          <cell r="AA227">
            <v>3294</v>
          </cell>
          <cell r="AB227">
            <v>0</v>
          </cell>
          <cell r="AC227">
            <v>668</v>
          </cell>
          <cell r="AD227">
            <v>0</v>
          </cell>
          <cell r="AE227">
            <v>3962</v>
          </cell>
          <cell r="AG227" t="str">
            <v xml:space="preserve">       d.  Discharge Days</v>
          </cell>
          <cell r="AH227">
            <v>0</v>
          </cell>
          <cell r="AI227">
            <v>586</v>
          </cell>
          <cell r="AJ227">
            <v>0</v>
          </cell>
          <cell r="AK227">
            <v>142</v>
          </cell>
          <cell r="AL227">
            <v>0</v>
          </cell>
          <cell r="AM227">
            <v>728</v>
          </cell>
          <cell r="AO227" t="str">
            <v xml:space="preserve">       d.  Discharge Days</v>
          </cell>
          <cell r="AP227">
            <v>0</v>
          </cell>
          <cell r="AQ227">
            <v>128</v>
          </cell>
          <cell r="AR227">
            <v>0</v>
          </cell>
          <cell r="AS227">
            <v>33</v>
          </cell>
          <cell r="AT227">
            <v>0</v>
          </cell>
          <cell r="AU227">
            <v>161</v>
          </cell>
          <cell r="AW227" t="str">
            <v xml:space="preserve">       d.  Discharge Days</v>
          </cell>
          <cell r="AX227">
            <v>0</v>
          </cell>
          <cell r="AY227">
            <v>519</v>
          </cell>
          <cell r="AZ227">
            <v>0</v>
          </cell>
          <cell r="BA227">
            <v>48</v>
          </cell>
          <cell r="BB227">
            <v>0</v>
          </cell>
          <cell r="BC227">
            <v>567</v>
          </cell>
        </row>
        <row r="228">
          <cell r="A228" t="str">
            <v xml:space="preserve">       e.  Average Length of Stay</v>
          </cell>
          <cell r="B228">
            <v>0</v>
          </cell>
          <cell r="C228">
            <v>4.2222222222222223</v>
          </cell>
          <cell r="D228">
            <v>0</v>
          </cell>
          <cell r="E228">
            <v>5.5</v>
          </cell>
          <cell r="F228">
            <v>0</v>
          </cell>
          <cell r="G228">
            <v>4.3499999999999996</v>
          </cell>
          <cell r="I228" t="str">
            <v xml:space="preserve">       e.  Average Length of Stay</v>
          </cell>
          <cell r="J228">
            <v>0</v>
          </cell>
          <cell r="K228">
            <v>5.0384615384615383</v>
          </cell>
          <cell r="L228">
            <v>0</v>
          </cell>
          <cell r="M228">
            <v>5.8</v>
          </cell>
          <cell r="N228">
            <v>0</v>
          </cell>
          <cell r="O228">
            <v>5.25</v>
          </cell>
          <cell r="Q228" t="str">
            <v xml:space="preserve">       e.  Average Length of Stay</v>
          </cell>
          <cell r="R228">
            <v>0</v>
          </cell>
          <cell r="S228">
            <v>5</v>
          </cell>
          <cell r="T228">
            <v>0</v>
          </cell>
          <cell r="U228">
            <v>3</v>
          </cell>
          <cell r="V228">
            <v>0</v>
          </cell>
          <cell r="W228">
            <v>4.7333333333333334</v>
          </cell>
          <cell r="Y228" t="str">
            <v xml:space="preserve">       e.  Average Length of Stay</v>
          </cell>
          <cell r="Z228">
            <v>0</v>
          </cell>
          <cell r="AA228">
            <v>4.3978638184245664</v>
          </cell>
          <cell r="AB228">
            <v>0</v>
          </cell>
          <cell r="AC228">
            <v>4.9117647058823533</v>
          </cell>
          <cell r="AD228">
            <v>0</v>
          </cell>
          <cell r="AE228">
            <v>4.4768361581920901</v>
          </cell>
          <cell r="AG228" t="str">
            <v xml:space="preserve">       e.  Average Length of Stay</v>
          </cell>
          <cell r="AH228">
            <v>0</v>
          </cell>
          <cell r="AI228">
            <v>4.9243697478991599</v>
          </cell>
          <cell r="AJ228">
            <v>0</v>
          </cell>
          <cell r="AK228">
            <v>5.0714285714285712</v>
          </cell>
          <cell r="AL228">
            <v>0</v>
          </cell>
          <cell r="AM228">
            <v>4.9523809523809526</v>
          </cell>
          <cell r="AO228" t="str">
            <v xml:space="preserve">       e.  Average Length of Stay</v>
          </cell>
          <cell r="AP228">
            <v>0</v>
          </cell>
          <cell r="AQ228">
            <v>4.129032258064516</v>
          </cell>
          <cell r="AR228">
            <v>0</v>
          </cell>
          <cell r="AS228">
            <v>4.7142857142857144</v>
          </cell>
          <cell r="AT228">
            <v>0</v>
          </cell>
          <cell r="AU228">
            <v>4.2368421052631575</v>
          </cell>
          <cell r="AW228" t="str">
            <v xml:space="preserve">       e.  Average Length of Stay</v>
          </cell>
          <cell r="AX228">
            <v>0</v>
          </cell>
          <cell r="AY228">
            <v>4.5929203539823007</v>
          </cell>
          <cell r="AZ228">
            <v>0</v>
          </cell>
          <cell r="BA228">
            <v>3.6923076923076925</v>
          </cell>
          <cell r="BB228">
            <v>0</v>
          </cell>
          <cell r="BC228">
            <v>4.5</v>
          </cell>
        </row>
        <row r="230">
          <cell r="A230" t="str">
            <v>D.   Emergency Room Visits</v>
          </cell>
          <cell r="B230">
            <v>0</v>
          </cell>
          <cell r="C230">
            <v>8</v>
          </cell>
          <cell r="D230">
            <v>0</v>
          </cell>
          <cell r="E230">
            <v>3</v>
          </cell>
          <cell r="F230">
            <v>0</v>
          </cell>
          <cell r="G230">
            <v>11</v>
          </cell>
          <cell r="I230" t="str">
            <v>D.   Emergency Room Visits</v>
          </cell>
          <cell r="J230">
            <v>0</v>
          </cell>
          <cell r="K230">
            <v>18</v>
          </cell>
          <cell r="L230">
            <v>0</v>
          </cell>
          <cell r="M230">
            <v>10</v>
          </cell>
          <cell r="N230">
            <v>0</v>
          </cell>
          <cell r="O230">
            <v>28</v>
          </cell>
          <cell r="Q230" t="str">
            <v>D.   Emergency Room Visits</v>
          </cell>
          <cell r="R230">
            <v>0</v>
          </cell>
          <cell r="S230">
            <v>9</v>
          </cell>
          <cell r="T230">
            <v>0</v>
          </cell>
          <cell r="U230">
            <v>1</v>
          </cell>
          <cell r="V230">
            <v>0</v>
          </cell>
          <cell r="W230">
            <v>10</v>
          </cell>
          <cell r="Y230" t="str">
            <v>D.   Emergency Room Visits</v>
          </cell>
          <cell r="Z230">
            <v>0</v>
          </cell>
          <cell r="AA230">
            <v>247</v>
          </cell>
          <cell r="AB230">
            <v>0</v>
          </cell>
          <cell r="AC230">
            <v>131</v>
          </cell>
          <cell r="AD230">
            <v>0</v>
          </cell>
          <cell r="AE230">
            <v>378</v>
          </cell>
          <cell r="AG230" t="str">
            <v>D.   Emergency Room Visits</v>
          </cell>
          <cell r="AH230">
            <v>0</v>
          </cell>
          <cell r="AI230">
            <v>102</v>
          </cell>
          <cell r="AJ230">
            <v>0</v>
          </cell>
          <cell r="AK230">
            <v>32</v>
          </cell>
          <cell r="AL230">
            <v>0</v>
          </cell>
          <cell r="AM230">
            <v>134</v>
          </cell>
          <cell r="AO230" t="str">
            <v>D.   Emergency Room Visits</v>
          </cell>
          <cell r="AP230">
            <v>0</v>
          </cell>
          <cell r="AQ230">
            <v>27</v>
          </cell>
          <cell r="AR230">
            <v>0</v>
          </cell>
          <cell r="AS230">
            <v>12</v>
          </cell>
          <cell r="AT230">
            <v>0</v>
          </cell>
          <cell r="AU230">
            <v>39</v>
          </cell>
          <cell r="AW230" t="str">
            <v>D.   Emergency Room Visits</v>
          </cell>
          <cell r="AX230">
            <v>0</v>
          </cell>
          <cell r="AY230">
            <v>43</v>
          </cell>
          <cell r="AZ230">
            <v>0</v>
          </cell>
          <cell r="BA230">
            <v>10</v>
          </cell>
          <cell r="BB230">
            <v>0</v>
          </cell>
          <cell r="BC230">
            <v>53</v>
          </cell>
        </row>
        <row r="234">
          <cell r="A234" t="str">
            <v>Program Contractor Financial Reporting Systems - Report #11A Utilization Data Report by County</v>
          </cell>
          <cell r="I234" t="str">
            <v>Program Contractor Financial Reporting Systems - Report #11A Utilization Data Report by County</v>
          </cell>
          <cell r="Q234" t="str">
            <v>Program Contractor Financial Reporting Systems - Report #11A Utilization Data Report by County</v>
          </cell>
          <cell r="Y234" t="str">
            <v>Program Contractor Financial Reporting Systems - Report #11A Utilization Data Report by County</v>
          </cell>
          <cell r="AG234" t="str">
            <v>Program Contractor Financial Reporting Systems - Report #11A Utilization Data Report by County</v>
          </cell>
          <cell r="AO234" t="str">
            <v>Program Contractor Financial Reporting Systems - Report #11A Utilization Data Report by County</v>
          </cell>
          <cell r="AW234" t="str">
            <v>Program Contractor Financial Reporting Systems - Report #11A Utilization Data Report by County</v>
          </cell>
        </row>
        <row r="236">
          <cell r="A236" t="str">
            <v>Statement for Program Contractor 110049 - Evercare of Arizona, Inc.</v>
          </cell>
          <cell r="F236" t="str">
            <v>County:</v>
          </cell>
          <cell r="G236" t="str">
            <v>Apache</v>
          </cell>
          <cell r="I236" t="str">
            <v>Statement for Program Contractor 110049 - Evercare of Arizona, Inc.</v>
          </cell>
          <cell r="N236" t="str">
            <v>County:</v>
          </cell>
          <cell r="O236" t="str">
            <v>Coconino</v>
          </cell>
          <cell r="Q236" t="str">
            <v>Statement for Program Contractor 110049 - Evercare of Arizona, Inc.</v>
          </cell>
          <cell r="V236" t="str">
            <v>County:</v>
          </cell>
          <cell r="W236" t="str">
            <v>La Paz</v>
          </cell>
          <cell r="Y236" t="str">
            <v>Statement for Program Contractor 110049 - Evercare of Arizona, Inc.</v>
          </cell>
          <cell r="AD236" t="str">
            <v>County:</v>
          </cell>
          <cell r="AE236" t="str">
            <v>Maricopa</v>
          </cell>
          <cell r="AG236" t="str">
            <v>Statement for Program Contractor 110049 - Evercare of Arizona, Inc.</v>
          </cell>
          <cell r="AL236" t="str">
            <v>County:</v>
          </cell>
          <cell r="AM236" t="str">
            <v>Mohave</v>
          </cell>
          <cell r="AO236" t="str">
            <v>Statement for Program Contractor 110049 - Evercare of Arizona, Inc.</v>
          </cell>
          <cell r="AT236" t="str">
            <v>County:</v>
          </cell>
          <cell r="AU236" t="str">
            <v>Navajo</v>
          </cell>
          <cell r="AW236" t="str">
            <v>Statement for Program Contractor 110049 - Evercare of Arizona, Inc.</v>
          </cell>
          <cell r="BB236" t="str">
            <v>County:</v>
          </cell>
          <cell r="BC236" t="str">
            <v>Yuma</v>
          </cell>
        </row>
        <row r="238">
          <cell r="A238" t="str">
            <v>For the Month ending 3/31/2006 in the Fiscal Year ending 9/30/2006</v>
          </cell>
          <cell r="F238" t="str">
            <v>Page 3 of 21</v>
          </cell>
          <cell r="I238" t="str">
            <v>For the Month ending 3/31/2006 in the Fiscal Year ending 9/30/2006</v>
          </cell>
          <cell r="N238" t="str">
            <v>Page 6 of 21</v>
          </cell>
          <cell r="Q238" t="str">
            <v>For the Month ending 3/31/2006 in the Fiscal Year ending 9/30/2006</v>
          </cell>
          <cell r="V238" t="str">
            <v>Page 9 of 21</v>
          </cell>
          <cell r="Y238" t="str">
            <v>For the Month ending 3/31/2006 in the Fiscal Year ending 9/30/2006</v>
          </cell>
          <cell r="AD238" t="str">
            <v>Page 12 of 21</v>
          </cell>
          <cell r="AG238" t="str">
            <v>For the Month ending 3/31/2006 in the Fiscal Year ending 9/30/2006</v>
          </cell>
          <cell r="AL238" t="str">
            <v>Page 15 of 21</v>
          </cell>
          <cell r="AO238" t="str">
            <v>For the Month ending 3/31/2006 in the Fiscal Year ending 9/30/2006</v>
          </cell>
          <cell r="AT238" t="str">
            <v>Page 18 of 21</v>
          </cell>
          <cell r="AW238" t="str">
            <v>For the Month ending 3/31/2006 in the Fiscal Year ending 9/30/2006</v>
          </cell>
          <cell r="BB238" t="str">
            <v>Page 21 of 21</v>
          </cell>
        </row>
        <row r="241">
          <cell r="A241" t="str">
            <v>Utilization Data Report by County</v>
          </cell>
          <cell r="I241" t="str">
            <v>Utilization Data Report by County</v>
          </cell>
          <cell r="Q241" t="str">
            <v>Utilization Data Report by County</v>
          </cell>
          <cell r="Y241" t="str">
            <v>Utilization Data Report by County</v>
          </cell>
          <cell r="AG241" t="str">
            <v>Utilization Data Report by County</v>
          </cell>
          <cell r="AO241" t="str">
            <v>Utilization Data Report by County</v>
          </cell>
          <cell r="AW241" t="str">
            <v>Utilization Data Report by County</v>
          </cell>
        </row>
        <row r="243">
          <cell r="B243" t="str">
            <v>MEDICARE</v>
          </cell>
          <cell r="D243" t="str">
            <v>NON-MEDICARE</v>
          </cell>
          <cell r="F243" t="str">
            <v>TOTAL</v>
          </cell>
          <cell r="J243" t="str">
            <v>MEDICARE</v>
          </cell>
          <cell r="L243" t="str">
            <v>NON-MEDICARE</v>
          </cell>
          <cell r="N243" t="str">
            <v>TOTAL</v>
          </cell>
          <cell r="R243" t="str">
            <v>MEDICARE</v>
          </cell>
          <cell r="T243" t="str">
            <v>NON-MEDICARE</v>
          </cell>
          <cell r="V243" t="str">
            <v>TOTAL</v>
          </cell>
          <cell r="Z243" t="str">
            <v>MEDICARE</v>
          </cell>
          <cell r="AB243" t="str">
            <v>NON-MEDICARE</v>
          </cell>
          <cell r="AD243" t="str">
            <v>TOTAL</v>
          </cell>
          <cell r="AH243" t="str">
            <v>MEDICARE</v>
          </cell>
          <cell r="AJ243" t="str">
            <v>NON-MEDICARE</v>
          </cell>
          <cell r="AL243" t="str">
            <v>TOTAL</v>
          </cell>
          <cell r="AP243" t="str">
            <v>MEDICARE</v>
          </cell>
          <cell r="AR243" t="str">
            <v>NON-MEDICARE</v>
          </cell>
          <cell r="AT243" t="str">
            <v>TOTAL</v>
          </cell>
          <cell r="AX243" t="str">
            <v>MEDICARE</v>
          </cell>
          <cell r="AZ243" t="str">
            <v>NON-MEDICARE</v>
          </cell>
          <cell r="BB243" t="str">
            <v>TOTAL</v>
          </cell>
        </row>
        <row r="244">
          <cell r="A244" t="str">
            <v>ITEM DESCRIPTION</v>
          </cell>
          <cell r="B244" t="str">
            <v>Current</v>
          </cell>
          <cell r="D244" t="str">
            <v>Current</v>
          </cell>
          <cell r="F244" t="str">
            <v>Current</v>
          </cell>
          <cell r="I244" t="str">
            <v>ITEM DESCRIPTION</v>
          </cell>
          <cell r="J244" t="str">
            <v>Current</v>
          </cell>
          <cell r="L244" t="str">
            <v>Current</v>
          </cell>
          <cell r="N244" t="str">
            <v>Current</v>
          </cell>
          <cell r="Q244" t="str">
            <v>ITEM DESCRIPTION</v>
          </cell>
          <cell r="R244" t="str">
            <v>Current</v>
          </cell>
          <cell r="T244" t="str">
            <v>Current</v>
          </cell>
          <cell r="V244" t="str">
            <v>Current</v>
          </cell>
          <cell r="Y244" t="str">
            <v>ITEM DESCRIPTION</v>
          </cell>
          <cell r="Z244" t="str">
            <v>Current</v>
          </cell>
          <cell r="AB244" t="str">
            <v>Current</v>
          </cell>
          <cell r="AD244" t="str">
            <v>Current</v>
          </cell>
          <cell r="AG244" t="str">
            <v>ITEM DESCRIPTION</v>
          </cell>
          <cell r="AH244" t="str">
            <v>Current</v>
          </cell>
          <cell r="AJ244" t="str">
            <v>Current</v>
          </cell>
          <cell r="AL244" t="str">
            <v>Current</v>
          </cell>
          <cell r="AO244" t="str">
            <v>ITEM DESCRIPTION</v>
          </cell>
          <cell r="AP244" t="str">
            <v>Current</v>
          </cell>
          <cell r="AR244" t="str">
            <v>Current</v>
          </cell>
          <cell r="AT244" t="str">
            <v>Current</v>
          </cell>
          <cell r="AW244" t="str">
            <v>ITEM DESCRIPTION</v>
          </cell>
          <cell r="AX244" t="str">
            <v>Current</v>
          </cell>
          <cell r="AZ244" t="str">
            <v>Current</v>
          </cell>
          <cell r="BB244" t="str">
            <v>Current</v>
          </cell>
        </row>
        <row r="245">
          <cell r="B245" t="str">
            <v>Period</v>
          </cell>
          <cell r="C245" t="str">
            <v>YTD</v>
          </cell>
          <cell r="D245" t="str">
            <v>Period</v>
          </cell>
          <cell r="E245" t="str">
            <v>YTD</v>
          </cell>
          <cell r="F245" t="str">
            <v>Period</v>
          </cell>
          <cell r="G245" t="str">
            <v>YTD</v>
          </cell>
          <cell r="J245" t="str">
            <v>Period</v>
          </cell>
          <cell r="K245" t="str">
            <v>YTD</v>
          </cell>
          <cell r="L245" t="str">
            <v>Period</v>
          </cell>
          <cell r="M245" t="str">
            <v>YTD</v>
          </cell>
          <cell r="N245" t="str">
            <v>Period</v>
          </cell>
          <cell r="O245" t="str">
            <v>YTD</v>
          </cell>
          <cell r="R245" t="str">
            <v>Period</v>
          </cell>
          <cell r="S245" t="str">
            <v>YTD</v>
          </cell>
          <cell r="T245" t="str">
            <v>Period</v>
          </cell>
          <cell r="U245" t="str">
            <v>YTD</v>
          </cell>
          <cell r="V245" t="str">
            <v>Period</v>
          </cell>
          <cell r="W245" t="str">
            <v>YTD</v>
          </cell>
          <cell r="Z245" t="str">
            <v>Period</v>
          </cell>
          <cell r="AA245" t="str">
            <v>YTD</v>
          </cell>
          <cell r="AB245" t="str">
            <v>Period</v>
          </cell>
          <cell r="AC245" t="str">
            <v>YTD</v>
          </cell>
          <cell r="AD245" t="str">
            <v>Period</v>
          </cell>
          <cell r="AE245" t="str">
            <v>YTD</v>
          </cell>
          <cell r="AH245" t="str">
            <v>Period</v>
          </cell>
          <cell r="AI245" t="str">
            <v>YTD</v>
          </cell>
          <cell r="AJ245" t="str">
            <v>Period</v>
          </cell>
          <cell r="AK245" t="str">
            <v>YTD</v>
          </cell>
          <cell r="AL245" t="str">
            <v>Period</v>
          </cell>
          <cell r="AM245" t="str">
            <v>YTD</v>
          </cell>
          <cell r="AP245" t="str">
            <v>Period</v>
          </cell>
          <cell r="AQ245" t="str">
            <v>YTD</v>
          </cell>
          <cell r="AR245" t="str">
            <v>Period</v>
          </cell>
          <cell r="AS245" t="str">
            <v>YTD</v>
          </cell>
          <cell r="AT245" t="str">
            <v>Period</v>
          </cell>
          <cell r="AU245" t="str">
            <v>YTD</v>
          </cell>
          <cell r="AX245" t="str">
            <v>Period</v>
          </cell>
          <cell r="AY245" t="str">
            <v>YTD</v>
          </cell>
          <cell r="AZ245" t="str">
            <v>Period</v>
          </cell>
          <cell r="BA245" t="str">
            <v>YTD</v>
          </cell>
          <cell r="BB245" t="str">
            <v>Period</v>
          </cell>
          <cell r="BC245" t="str">
            <v>YTD</v>
          </cell>
        </row>
        <row r="246">
          <cell r="A246" t="str">
            <v>A.   Enrollees (At End of Period)</v>
          </cell>
          <cell r="B246">
            <v>0</v>
          </cell>
          <cell r="D246">
            <v>0</v>
          </cell>
          <cell r="F246">
            <v>0</v>
          </cell>
          <cell r="I246" t="str">
            <v>A.   Enrollees (At End of Period)</v>
          </cell>
          <cell r="J246">
            <v>0</v>
          </cell>
          <cell r="L246">
            <v>0</v>
          </cell>
          <cell r="N246">
            <v>0</v>
          </cell>
          <cell r="Q246" t="str">
            <v>A.   Enrollees (At End of Period)</v>
          </cell>
          <cell r="R246">
            <v>0</v>
          </cell>
          <cell r="T246">
            <v>0</v>
          </cell>
          <cell r="V246">
            <v>0</v>
          </cell>
          <cell r="Y246" t="str">
            <v>A.   Enrollees (At End of Period)</v>
          </cell>
          <cell r="Z246">
            <v>0</v>
          </cell>
          <cell r="AB246">
            <v>0</v>
          </cell>
          <cell r="AD246">
            <v>0</v>
          </cell>
          <cell r="AG246" t="str">
            <v>A.   Enrollees (At End of Period)</v>
          </cell>
          <cell r="AH246">
            <v>0</v>
          </cell>
          <cell r="AJ246">
            <v>0</v>
          </cell>
          <cell r="AL246">
            <v>0</v>
          </cell>
          <cell r="AO246" t="str">
            <v>A.   Enrollees (At End of Period)</v>
          </cell>
          <cell r="AP246">
            <v>0</v>
          </cell>
          <cell r="AR246">
            <v>0</v>
          </cell>
          <cell r="AT246">
            <v>0</v>
          </cell>
          <cell r="AW246" t="str">
            <v>A.   Enrollees (At End of Period)</v>
          </cell>
          <cell r="AX246">
            <v>0</v>
          </cell>
          <cell r="AZ246">
            <v>0</v>
          </cell>
          <cell r="BB246">
            <v>0</v>
          </cell>
        </row>
        <row r="248">
          <cell r="A248" t="str">
            <v>B.   Member Months (Unduplicated)</v>
          </cell>
          <cell r="B248">
            <v>0</v>
          </cell>
          <cell r="C248">
            <v>190.88669999999996</v>
          </cell>
          <cell r="D248">
            <v>0</v>
          </cell>
          <cell r="E248">
            <v>54.75</v>
          </cell>
          <cell r="F248">
            <v>0</v>
          </cell>
          <cell r="G248">
            <v>245.63669999999996</v>
          </cell>
          <cell r="I248" t="str">
            <v>B.   Member Months (Unduplicated)</v>
          </cell>
          <cell r="J248">
            <v>0</v>
          </cell>
          <cell r="K248">
            <v>513.7274000000001</v>
          </cell>
          <cell r="L248">
            <v>0</v>
          </cell>
          <cell r="M248">
            <v>110.61330000000001</v>
          </cell>
          <cell r="N248">
            <v>0</v>
          </cell>
          <cell r="O248">
            <v>624.34070000000008</v>
          </cell>
          <cell r="Q248" t="str">
            <v>B.   Member Months (Unduplicated)</v>
          </cell>
          <cell r="R248">
            <v>0</v>
          </cell>
          <cell r="S248">
            <v>222.08120000000002</v>
          </cell>
          <cell r="T248">
            <v>0</v>
          </cell>
          <cell r="U248">
            <v>17.07</v>
          </cell>
          <cell r="V248">
            <v>0</v>
          </cell>
          <cell r="W248">
            <v>239.15120000000002</v>
          </cell>
          <cell r="Y248" t="str">
            <v>B.   Member Months (Unduplicated)</v>
          </cell>
          <cell r="Z248">
            <v>0</v>
          </cell>
          <cell r="AA248">
            <v>13367.081800000002</v>
          </cell>
          <cell r="AB248">
            <v>0</v>
          </cell>
          <cell r="AC248">
            <v>1964.4491000000003</v>
          </cell>
          <cell r="AD248">
            <v>0</v>
          </cell>
          <cell r="AE248">
            <v>15331.530900000002</v>
          </cell>
          <cell r="AG248" t="str">
            <v>B.   Member Months (Unduplicated)</v>
          </cell>
          <cell r="AH248">
            <v>0</v>
          </cell>
          <cell r="AI248">
            <v>2465.0030999999999</v>
          </cell>
          <cell r="AJ248">
            <v>0</v>
          </cell>
          <cell r="AK248">
            <v>338.37329999999997</v>
          </cell>
          <cell r="AL248">
            <v>0</v>
          </cell>
          <cell r="AM248">
            <v>2803.3764000000001</v>
          </cell>
          <cell r="AO248" t="str">
            <v>B.   Member Months (Unduplicated)</v>
          </cell>
          <cell r="AP248">
            <v>0</v>
          </cell>
          <cell r="AQ248">
            <v>588.85000000000014</v>
          </cell>
          <cell r="AR248">
            <v>0</v>
          </cell>
          <cell r="AS248">
            <v>145.74229999999997</v>
          </cell>
          <cell r="AT248">
            <v>0</v>
          </cell>
          <cell r="AU248">
            <v>734.59230000000014</v>
          </cell>
          <cell r="AW248" t="str">
            <v>B.   Member Months (Unduplicated)</v>
          </cell>
          <cell r="AX248">
            <v>0</v>
          </cell>
          <cell r="AY248">
            <v>1674.2218</v>
          </cell>
          <cell r="AZ248">
            <v>0</v>
          </cell>
          <cell r="BA248">
            <v>331.96999999999997</v>
          </cell>
          <cell r="BB248">
            <v>0</v>
          </cell>
          <cell r="BC248">
            <v>2006.1918000000001</v>
          </cell>
        </row>
        <row r="249">
          <cell r="A249" t="str">
            <v xml:space="preserve">   Institutional Member Months Total</v>
          </cell>
          <cell r="B249">
            <v>0</v>
          </cell>
          <cell r="C249">
            <v>15.7</v>
          </cell>
          <cell r="D249">
            <v>0</v>
          </cell>
          <cell r="E249">
            <v>11.14</v>
          </cell>
          <cell r="F249">
            <v>0</v>
          </cell>
          <cell r="G249">
            <v>26.84</v>
          </cell>
          <cell r="I249" t="str">
            <v xml:space="preserve">   Institutional Member Months Total</v>
          </cell>
          <cell r="J249">
            <v>0</v>
          </cell>
          <cell r="K249">
            <v>190.48</v>
          </cell>
          <cell r="L249">
            <v>0</v>
          </cell>
          <cell r="M249">
            <v>12.73</v>
          </cell>
          <cell r="N249">
            <v>0</v>
          </cell>
          <cell r="O249">
            <v>203.20999999999998</v>
          </cell>
          <cell r="Q249" t="str">
            <v xml:space="preserve">   Institutional Member Months Total</v>
          </cell>
          <cell r="R249">
            <v>0</v>
          </cell>
          <cell r="S249">
            <v>122.66999999999999</v>
          </cell>
          <cell r="T249">
            <v>0</v>
          </cell>
          <cell r="U249">
            <v>3</v>
          </cell>
          <cell r="V249">
            <v>0</v>
          </cell>
          <cell r="W249">
            <v>125.66999999999999</v>
          </cell>
          <cell r="Y249" t="str">
            <v xml:space="preserve">   Institutional Member Months Total</v>
          </cell>
          <cell r="Z249">
            <v>0</v>
          </cell>
          <cell r="AA249">
            <v>5378.2800000000007</v>
          </cell>
          <cell r="AB249">
            <v>0</v>
          </cell>
          <cell r="AC249">
            <v>460.42000000000007</v>
          </cell>
          <cell r="AD249">
            <v>0</v>
          </cell>
          <cell r="AE249">
            <v>5838.7000000000007</v>
          </cell>
          <cell r="AG249" t="str">
            <v xml:space="preserve">   Institutional Member Months Total</v>
          </cell>
          <cell r="AH249">
            <v>0</v>
          </cell>
          <cell r="AI249">
            <v>1342.8</v>
          </cell>
          <cell r="AJ249">
            <v>0</v>
          </cell>
          <cell r="AK249">
            <v>92.289999999999992</v>
          </cell>
          <cell r="AL249">
            <v>0</v>
          </cell>
          <cell r="AM249">
            <v>1435.09</v>
          </cell>
          <cell r="AO249" t="str">
            <v xml:space="preserve">   Institutional Member Months Total</v>
          </cell>
          <cell r="AP249">
            <v>0</v>
          </cell>
          <cell r="AQ249">
            <v>111.26</v>
          </cell>
          <cell r="AR249">
            <v>0</v>
          </cell>
          <cell r="AS249">
            <v>25.259999999999998</v>
          </cell>
          <cell r="AT249">
            <v>0</v>
          </cell>
          <cell r="AU249">
            <v>136.52000000000001</v>
          </cell>
          <cell r="AW249" t="str">
            <v xml:space="preserve">   Institutional Member Months Total</v>
          </cell>
          <cell r="AX249">
            <v>0</v>
          </cell>
          <cell r="AY249">
            <v>878.52</v>
          </cell>
          <cell r="AZ249">
            <v>0</v>
          </cell>
          <cell r="BA249">
            <v>113.56</v>
          </cell>
          <cell r="BB249">
            <v>0</v>
          </cell>
          <cell r="BC249">
            <v>992.07999999999993</v>
          </cell>
        </row>
        <row r="250">
          <cell r="A250" t="str">
            <v xml:space="preserve">   1.  Level I</v>
          </cell>
          <cell r="B250">
            <v>0</v>
          </cell>
          <cell r="C250">
            <v>6.81</v>
          </cell>
          <cell r="D250">
            <v>0</v>
          </cell>
          <cell r="E250">
            <v>8.14</v>
          </cell>
          <cell r="F250">
            <v>0</v>
          </cell>
          <cell r="G250">
            <v>14.95</v>
          </cell>
          <cell r="I250" t="str">
            <v xml:space="preserve">   1.  Level I</v>
          </cell>
          <cell r="J250">
            <v>0</v>
          </cell>
          <cell r="K250">
            <v>86.49</v>
          </cell>
          <cell r="L250">
            <v>0</v>
          </cell>
          <cell r="M250">
            <v>8.23</v>
          </cell>
          <cell r="N250">
            <v>0</v>
          </cell>
          <cell r="O250">
            <v>94.72</v>
          </cell>
          <cell r="Q250" t="str">
            <v xml:space="preserve">   1.  Level I</v>
          </cell>
          <cell r="R250">
            <v>0</v>
          </cell>
          <cell r="S250">
            <v>78.349999999999994</v>
          </cell>
          <cell r="T250">
            <v>0</v>
          </cell>
          <cell r="U250">
            <v>0</v>
          </cell>
          <cell r="V250">
            <v>0</v>
          </cell>
          <cell r="W250">
            <v>78.349999999999994</v>
          </cell>
          <cell r="Y250" t="str">
            <v xml:space="preserve">   1.  Level I</v>
          </cell>
          <cell r="Z250">
            <v>0</v>
          </cell>
          <cell r="AA250">
            <v>3650.05</v>
          </cell>
          <cell r="AB250">
            <v>0</v>
          </cell>
          <cell r="AC250">
            <v>288.17</v>
          </cell>
          <cell r="AD250">
            <v>0</v>
          </cell>
          <cell r="AE250">
            <v>3938.2200000000003</v>
          </cell>
          <cell r="AG250" t="str">
            <v xml:space="preserve">   1.  Level I</v>
          </cell>
          <cell r="AH250">
            <v>0</v>
          </cell>
          <cell r="AI250">
            <v>607.04999999999995</v>
          </cell>
          <cell r="AJ250">
            <v>0</v>
          </cell>
          <cell r="AK250">
            <v>46.1</v>
          </cell>
          <cell r="AL250">
            <v>0</v>
          </cell>
          <cell r="AM250">
            <v>653.15</v>
          </cell>
          <cell r="AO250" t="str">
            <v xml:space="preserve">   1.  Level I</v>
          </cell>
          <cell r="AP250">
            <v>0</v>
          </cell>
          <cell r="AQ250">
            <v>64.41</v>
          </cell>
          <cell r="AR250">
            <v>0</v>
          </cell>
          <cell r="AS250">
            <v>22.259999999999998</v>
          </cell>
          <cell r="AT250">
            <v>0</v>
          </cell>
          <cell r="AU250">
            <v>86.669999999999987</v>
          </cell>
          <cell r="AW250" t="str">
            <v xml:space="preserve">   1.  Level I</v>
          </cell>
          <cell r="AX250">
            <v>0</v>
          </cell>
          <cell r="AY250">
            <v>471.98</v>
          </cell>
          <cell r="AZ250">
            <v>0</v>
          </cell>
          <cell r="BA250">
            <v>69.94</v>
          </cell>
          <cell r="BB250">
            <v>0</v>
          </cell>
          <cell r="BC250">
            <v>541.92000000000007</v>
          </cell>
        </row>
        <row r="251">
          <cell r="A251" t="str">
            <v xml:space="preserve">   2.  Level II</v>
          </cell>
          <cell r="B251">
            <v>0</v>
          </cell>
          <cell r="C251">
            <v>6.73</v>
          </cell>
          <cell r="D251">
            <v>0</v>
          </cell>
          <cell r="E251">
            <v>3</v>
          </cell>
          <cell r="F251">
            <v>0</v>
          </cell>
          <cell r="G251">
            <v>9.73</v>
          </cell>
          <cell r="I251" t="str">
            <v xml:space="preserve">   2.  Level II</v>
          </cell>
          <cell r="J251">
            <v>0</v>
          </cell>
          <cell r="K251">
            <v>87.8</v>
          </cell>
          <cell r="L251">
            <v>0</v>
          </cell>
          <cell r="M251">
            <v>3</v>
          </cell>
          <cell r="N251">
            <v>0</v>
          </cell>
          <cell r="O251">
            <v>90.8</v>
          </cell>
          <cell r="Q251" t="str">
            <v xml:space="preserve">   2.  Level II</v>
          </cell>
          <cell r="R251">
            <v>0</v>
          </cell>
          <cell r="S251">
            <v>37.57</v>
          </cell>
          <cell r="T251">
            <v>0</v>
          </cell>
          <cell r="U251">
            <v>3</v>
          </cell>
          <cell r="V251">
            <v>0</v>
          </cell>
          <cell r="W251">
            <v>40.57</v>
          </cell>
          <cell r="Y251" t="str">
            <v xml:space="preserve">   2.  Level II</v>
          </cell>
          <cell r="Z251">
            <v>0</v>
          </cell>
          <cell r="AA251">
            <v>1526.49</v>
          </cell>
          <cell r="AB251">
            <v>0</v>
          </cell>
          <cell r="AC251">
            <v>127.19</v>
          </cell>
          <cell r="AD251">
            <v>0</v>
          </cell>
          <cell r="AE251">
            <v>1653.68</v>
          </cell>
          <cell r="AG251" t="str">
            <v xml:space="preserve">   2.  Level II</v>
          </cell>
          <cell r="AH251">
            <v>0</v>
          </cell>
          <cell r="AI251">
            <v>602.55999999999995</v>
          </cell>
          <cell r="AJ251">
            <v>0</v>
          </cell>
          <cell r="AK251">
            <v>28.279999999999998</v>
          </cell>
          <cell r="AL251">
            <v>0</v>
          </cell>
          <cell r="AM251">
            <v>630.83999999999992</v>
          </cell>
          <cell r="AO251" t="str">
            <v xml:space="preserve">   2.  Level II</v>
          </cell>
          <cell r="AP251">
            <v>0</v>
          </cell>
          <cell r="AQ251">
            <v>39.450000000000003</v>
          </cell>
          <cell r="AR251">
            <v>0</v>
          </cell>
          <cell r="AS251">
            <v>3</v>
          </cell>
          <cell r="AT251">
            <v>0</v>
          </cell>
          <cell r="AU251">
            <v>42.45</v>
          </cell>
          <cell r="AW251" t="str">
            <v xml:space="preserve">   2.  Level II</v>
          </cell>
          <cell r="AX251">
            <v>0</v>
          </cell>
          <cell r="AY251">
            <v>357.26</v>
          </cell>
          <cell r="AZ251">
            <v>0</v>
          </cell>
          <cell r="BA251">
            <v>27.619999999999997</v>
          </cell>
          <cell r="BB251">
            <v>0</v>
          </cell>
          <cell r="BC251">
            <v>384.88</v>
          </cell>
        </row>
        <row r="252">
          <cell r="A252" t="str">
            <v xml:space="preserve">   3.  Level III</v>
          </cell>
          <cell r="B252">
            <v>0</v>
          </cell>
          <cell r="C252">
            <v>2.16</v>
          </cell>
          <cell r="D252">
            <v>0</v>
          </cell>
          <cell r="E252">
            <v>0</v>
          </cell>
          <cell r="F252">
            <v>0</v>
          </cell>
          <cell r="G252">
            <v>2.16</v>
          </cell>
          <cell r="I252" t="str">
            <v xml:space="preserve">   3.  Level III</v>
          </cell>
          <cell r="J252">
            <v>0</v>
          </cell>
          <cell r="K252">
            <v>16.190000000000001</v>
          </cell>
          <cell r="L252">
            <v>0</v>
          </cell>
          <cell r="M252">
            <v>1.5</v>
          </cell>
          <cell r="N252">
            <v>0</v>
          </cell>
          <cell r="O252">
            <v>17.690000000000001</v>
          </cell>
          <cell r="Q252" t="str">
            <v xml:space="preserve">   3.  Level III</v>
          </cell>
          <cell r="R252">
            <v>0</v>
          </cell>
          <cell r="S252">
            <v>6.75</v>
          </cell>
          <cell r="T252">
            <v>0</v>
          </cell>
          <cell r="U252">
            <v>0</v>
          </cell>
          <cell r="V252">
            <v>0</v>
          </cell>
          <cell r="W252">
            <v>6.75</v>
          </cell>
          <cell r="Y252" t="str">
            <v xml:space="preserve">   3.  Level III</v>
          </cell>
          <cell r="Z252">
            <v>0</v>
          </cell>
          <cell r="AA252">
            <v>200.77</v>
          </cell>
          <cell r="AB252">
            <v>0</v>
          </cell>
          <cell r="AC252">
            <v>31.090000000000003</v>
          </cell>
          <cell r="AD252">
            <v>0</v>
          </cell>
          <cell r="AE252">
            <v>231.86</v>
          </cell>
          <cell r="AG252" t="str">
            <v xml:space="preserve">   3.  Level III</v>
          </cell>
          <cell r="AH252">
            <v>0</v>
          </cell>
          <cell r="AI252">
            <v>133.19</v>
          </cell>
          <cell r="AJ252">
            <v>0</v>
          </cell>
          <cell r="AK252">
            <v>17.91</v>
          </cell>
          <cell r="AL252">
            <v>0</v>
          </cell>
          <cell r="AM252">
            <v>151.1</v>
          </cell>
          <cell r="AO252" t="str">
            <v xml:space="preserve">   3.  Level III</v>
          </cell>
          <cell r="AP252">
            <v>0</v>
          </cell>
          <cell r="AQ252">
            <v>0.4</v>
          </cell>
          <cell r="AR252">
            <v>0</v>
          </cell>
          <cell r="AS252">
            <v>0</v>
          </cell>
          <cell r="AT252">
            <v>0</v>
          </cell>
          <cell r="AU252">
            <v>0.4</v>
          </cell>
          <cell r="AW252" t="str">
            <v xml:space="preserve">   3.  Level III</v>
          </cell>
          <cell r="AX252">
            <v>0</v>
          </cell>
          <cell r="AY252">
            <v>49.28</v>
          </cell>
          <cell r="AZ252">
            <v>0</v>
          </cell>
          <cell r="BA252">
            <v>16</v>
          </cell>
          <cell r="BB252">
            <v>0</v>
          </cell>
          <cell r="BC252">
            <v>65.28</v>
          </cell>
        </row>
        <row r="253">
          <cell r="A253" t="str">
            <v xml:space="preserve">   4.  Level IV</v>
          </cell>
          <cell r="B253">
            <v>0</v>
          </cell>
          <cell r="C253">
            <v>0</v>
          </cell>
          <cell r="D253">
            <v>0</v>
          </cell>
          <cell r="E253">
            <v>0</v>
          </cell>
          <cell r="F253">
            <v>0</v>
          </cell>
          <cell r="G253">
            <v>0</v>
          </cell>
          <cell r="I253" t="str">
            <v xml:space="preserve">   4.  Level IV</v>
          </cell>
          <cell r="J253">
            <v>0</v>
          </cell>
          <cell r="K253">
            <v>0</v>
          </cell>
          <cell r="L253">
            <v>0</v>
          </cell>
          <cell r="M253">
            <v>0</v>
          </cell>
          <cell r="N253">
            <v>0</v>
          </cell>
          <cell r="O253">
            <v>0</v>
          </cell>
          <cell r="Q253" t="str">
            <v xml:space="preserve">   4.  Level IV</v>
          </cell>
          <cell r="R253">
            <v>0</v>
          </cell>
          <cell r="S253">
            <v>0</v>
          </cell>
          <cell r="T253">
            <v>0</v>
          </cell>
          <cell r="U253">
            <v>0</v>
          </cell>
          <cell r="V253">
            <v>0</v>
          </cell>
          <cell r="W253">
            <v>0</v>
          </cell>
          <cell r="Y253" t="str">
            <v xml:space="preserve">   4.  Level IV</v>
          </cell>
          <cell r="Z253">
            <v>0</v>
          </cell>
          <cell r="AA253">
            <v>0.97</v>
          </cell>
          <cell r="AB253">
            <v>0</v>
          </cell>
          <cell r="AC253">
            <v>13.969999999999999</v>
          </cell>
          <cell r="AD253">
            <v>0</v>
          </cell>
          <cell r="AE253">
            <v>14.94</v>
          </cell>
          <cell r="AG253" t="str">
            <v xml:space="preserve">   4.  Level IV</v>
          </cell>
          <cell r="AH253">
            <v>0</v>
          </cell>
          <cell r="AI253">
            <v>0</v>
          </cell>
          <cell r="AJ253">
            <v>0</v>
          </cell>
          <cell r="AK253">
            <v>0</v>
          </cell>
          <cell r="AL253">
            <v>0</v>
          </cell>
          <cell r="AM253">
            <v>0</v>
          </cell>
          <cell r="AO253" t="str">
            <v xml:space="preserve">   4.  Level IV</v>
          </cell>
          <cell r="AP253">
            <v>0</v>
          </cell>
          <cell r="AQ253">
            <v>7</v>
          </cell>
          <cell r="AR253">
            <v>0</v>
          </cell>
          <cell r="AS253">
            <v>0</v>
          </cell>
          <cell r="AT253">
            <v>0</v>
          </cell>
          <cell r="AU253">
            <v>7</v>
          </cell>
          <cell r="AW253" t="str">
            <v xml:space="preserve">   4.  Level IV</v>
          </cell>
          <cell r="AX253">
            <v>0</v>
          </cell>
          <cell r="AY253">
            <v>0</v>
          </cell>
          <cell r="AZ253">
            <v>0</v>
          </cell>
          <cell r="BA253">
            <v>0</v>
          </cell>
          <cell r="BB253">
            <v>0</v>
          </cell>
          <cell r="BC253">
            <v>0</v>
          </cell>
        </row>
        <row r="254">
          <cell r="A254" t="str">
            <v xml:space="preserve">   5.</v>
          </cell>
          <cell r="I254" t="str">
            <v xml:space="preserve">   5.</v>
          </cell>
          <cell r="Q254" t="str">
            <v xml:space="preserve">   5.</v>
          </cell>
          <cell r="Y254" t="str">
            <v xml:space="preserve">   5.</v>
          </cell>
          <cell r="AG254" t="str">
            <v xml:space="preserve">   5.</v>
          </cell>
          <cell r="AO254" t="str">
            <v xml:space="preserve">   5.</v>
          </cell>
          <cell r="AW254" t="str">
            <v xml:space="preserve">   5.</v>
          </cell>
        </row>
        <row r="255">
          <cell r="A255" t="str">
            <v xml:space="preserve">   6.</v>
          </cell>
          <cell r="I255" t="str">
            <v xml:space="preserve">   6.</v>
          </cell>
          <cell r="Q255" t="str">
            <v xml:space="preserve">   6.</v>
          </cell>
          <cell r="Y255" t="str">
            <v xml:space="preserve">   6.</v>
          </cell>
          <cell r="AG255" t="str">
            <v xml:space="preserve">   6.</v>
          </cell>
          <cell r="AO255" t="str">
            <v xml:space="preserve">   6.</v>
          </cell>
          <cell r="AW255" t="str">
            <v xml:space="preserve">   6.</v>
          </cell>
        </row>
        <row r="256">
          <cell r="A256" t="str">
            <v xml:space="preserve">   7.  Home and Community Based Services (HCBS) Total</v>
          </cell>
          <cell r="B256">
            <v>0</v>
          </cell>
          <cell r="C256">
            <v>193.30999999999997</v>
          </cell>
          <cell r="D256">
            <v>0</v>
          </cell>
          <cell r="E256">
            <v>50.61</v>
          </cell>
          <cell r="F256">
            <v>0</v>
          </cell>
          <cell r="G256">
            <v>243.91999999999996</v>
          </cell>
          <cell r="I256" t="str">
            <v xml:space="preserve">   7.  Home and Community Based Services (HCBS) Total</v>
          </cell>
          <cell r="J256">
            <v>0</v>
          </cell>
          <cell r="K256">
            <v>338.48</v>
          </cell>
          <cell r="L256">
            <v>0</v>
          </cell>
          <cell r="M256">
            <v>88.35</v>
          </cell>
          <cell r="N256">
            <v>0</v>
          </cell>
          <cell r="O256">
            <v>426.83000000000004</v>
          </cell>
          <cell r="Q256" t="str">
            <v xml:space="preserve">   7.  Home and Community Based Services (HCBS) Total</v>
          </cell>
          <cell r="R256">
            <v>0</v>
          </cell>
          <cell r="S256">
            <v>95.550000000000011</v>
          </cell>
          <cell r="T256">
            <v>0</v>
          </cell>
          <cell r="U256">
            <v>14.07</v>
          </cell>
          <cell r="V256">
            <v>0</v>
          </cell>
          <cell r="W256">
            <v>109.62</v>
          </cell>
          <cell r="Y256" t="str">
            <v xml:space="preserve">   7.  Home and Community Based Services (HCBS) Total</v>
          </cell>
          <cell r="Z256">
            <v>0</v>
          </cell>
          <cell r="AA256">
            <v>8554.57</v>
          </cell>
          <cell r="AB256">
            <v>0</v>
          </cell>
          <cell r="AC256">
            <v>1510.57</v>
          </cell>
          <cell r="AD256">
            <v>0</v>
          </cell>
          <cell r="AE256">
            <v>10065.14</v>
          </cell>
          <cell r="AG256" t="str">
            <v xml:space="preserve">   7.  Home and Community Based Services (HCBS) Total</v>
          </cell>
          <cell r="AH256">
            <v>0</v>
          </cell>
          <cell r="AI256">
            <v>1325.78</v>
          </cell>
          <cell r="AJ256">
            <v>0</v>
          </cell>
          <cell r="AK256">
            <v>251.34</v>
          </cell>
          <cell r="AL256">
            <v>0</v>
          </cell>
          <cell r="AM256">
            <v>1577.12</v>
          </cell>
          <cell r="AO256" t="str">
            <v xml:space="preserve">   7.  Home and Community Based Services (HCBS) Total</v>
          </cell>
          <cell r="AP256">
            <v>0</v>
          </cell>
          <cell r="AQ256">
            <v>479.69000000000005</v>
          </cell>
          <cell r="AR256">
            <v>0</v>
          </cell>
          <cell r="AS256">
            <v>135.70999999999998</v>
          </cell>
          <cell r="AT256">
            <v>0</v>
          </cell>
          <cell r="AU256">
            <v>615.40000000000009</v>
          </cell>
          <cell r="AW256" t="str">
            <v xml:space="preserve">   7.  Home and Community Based Services (HCBS) Total</v>
          </cell>
          <cell r="AX256">
            <v>0</v>
          </cell>
          <cell r="AY256">
            <v>1021.8000000000001</v>
          </cell>
          <cell r="AZ256">
            <v>0</v>
          </cell>
          <cell r="BA256">
            <v>258.95</v>
          </cell>
          <cell r="BB256">
            <v>0</v>
          </cell>
          <cell r="BC256">
            <v>1280.75</v>
          </cell>
        </row>
        <row r="257">
          <cell r="A257" t="str">
            <v xml:space="preserve">       a.  Adult Foster Care</v>
          </cell>
          <cell r="B257">
            <v>0</v>
          </cell>
          <cell r="C257">
            <v>0</v>
          </cell>
          <cell r="D257">
            <v>0</v>
          </cell>
          <cell r="E257">
            <v>0</v>
          </cell>
          <cell r="F257">
            <v>0</v>
          </cell>
          <cell r="G257">
            <v>0</v>
          </cell>
          <cell r="I257" t="str">
            <v xml:space="preserve">       a.  Adult Foster Care</v>
          </cell>
          <cell r="J257">
            <v>0</v>
          </cell>
          <cell r="K257">
            <v>0</v>
          </cell>
          <cell r="L257">
            <v>0</v>
          </cell>
          <cell r="M257">
            <v>1.17</v>
          </cell>
          <cell r="N257">
            <v>0</v>
          </cell>
          <cell r="O257">
            <v>1.17</v>
          </cell>
          <cell r="Q257" t="str">
            <v xml:space="preserve">       a.  Adult Foster Care</v>
          </cell>
          <cell r="R257">
            <v>0</v>
          </cell>
          <cell r="S257">
            <v>0</v>
          </cell>
          <cell r="T257">
            <v>0</v>
          </cell>
          <cell r="U257">
            <v>0</v>
          </cell>
          <cell r="V257">
            <v>0</v>
          </cell>
          <cell r="W257">
            <v>0</v>
          </cell>
          <cell r="Y257" t="str">
            <v xml:space="preserve">       a.  Adult Foster Care</v>
          </cell>
          <cell r="Z257">
            <v>0</v>
          </cell>
          <cell r="AA257">
            <v>161.51</v>
          </cell>
          <cell r="AB257">
            <v>0</v>
          </cell>
          <cell r="AC257">
            <v>26.04</v>
          </cell>
          <cell r="AD257">
            <v>0</v>
          </cell>
          <cell r="AE257">
            <v>187.54999999999998</v>
          </cell>
          <cell r="AG257" t="str">
            <v xml:space="preserve">       a.  Adult Foster Care</v>
          </cell>
          <cell r="AH257">
            <v>0</v>
          </cell>
          <cell r="AI257">
            <v>12.9</v>
          </cell>
          <cell r="AJ257">
            <v>0</v>
          </cell>
          <cell r="AK257">
            <v>5.73</v>
          </cell>
          <cell r="AL257">
            <v>0</v>
          </cell>
          <cell r="AM257">
            <v>18.630000000000003</v>
          </cell>
          <cell r="AO257" t="str">
            <v xml:space="preserve">       a.  Adult Foster Care</v>
          </cell>
          <cell r="AP257">
            <v>0</v>
          </cell>
          <cell r="AQ257">
            <v>0</v>
          </cell>
          <cell r="AR257">
            <v>0</v>
          </cell>
          <cell r="AS257">
            <v>0</v>
          </cell>
          <cell r="AT257">
            <v>0</v>
          </cell>
          <cell r="AU257">
            <v>0</v>
          </cell>
          <cell r="AW257" t="str">
            <v xml:space="preserve">       a.  Adult Foster Care</v>
          </cell>
          <cell r="AX257">
            <v>0</v>
          </cell>
          <cell r="AY257">
            <v>4</v>
          </cell>
          <cell r="AZ257">
            <v>0</v>
          </cell>
          <cell r="BA257">
            <v>0</v>
          </cell>
          <cell r="BB257">
            <v>0</v>
          </cell>
          <cell r="BC257">
            <v>4</v>
          </cell>
        </row>
        <row r="258">
          <cell r="A258" t="str">
            <v xml:space="preserve">       b.  Assisted Living Home (Adult Care Home)</v>
          </cell>
          <cell r="B258">
            <v>0</v>
          </cell>
          <cell r="C258">
            <v>44.36</v>
          </cell>
          <cell r="D258">
            <v>0</v>
          </cell>
          <cell r="E258">
            <v>1.66</v>
          </cell>
          <cell r="F258">
            <v>0</v>
          </cell>
          <cell r="G258">
            <v>46.019999999999996</v>
          </cell>
          <cell r="I258" t="str">
            <v xml:space="preserve">       b.  Assisted Living Home (Adult Care Home)</v>
          </cell>
          <cell r="J258">
            <v>0</v>
          </cell>
          <cell r="K258">
            <v>19.060000000000002</v>
          </cell>
          <cell r="L258">
            <v>0</v>
          </cell>
          <cell r="M258">
            <v>4.7</v>
          </cell>
          <cell r="N258">
            <v>0</v>
          </cell>
          <cell r="O258">
            <v>23.76</v>
          </cell>
          <cell r="Q258" t="str">
            <v xml:space="preserve">       b.  Assisted Living Home (Adult Care Home)</v>
          </cell>
          <cell r="R258">
            <v>0</v>
          </cell>
          <cell r="S258">
            <v>0</v>
          </cell>
          <cell r="T258">
            <v>0</v>
          </cell>
          <cell r="U258">
            <v>0</v>
          </cell>
          <cell r="V258">
            <v>0</v>
          </cell>
          <cell r="W258">
            <v>0</v>
          </cell>
          <cell r="Y258" t="str">
            <v xml:space="preserve">       b.  Assisted Living Home (Adult Care Home)</v>
          </cell>
          <cell r="Z258">
            <v>0</v>
          </cell>
          <cell r="AA258">
            <v>1894.61</v>
          </cell>
          <cell r="AB258">
            <v>0</v>
          </cell>
          <cell r="AC258">
            <v>120.88</v>
          </cell>
          <cell r="AD258">
            <v>0</v>
          </cell>
          <cell r="AE258">
            <v>2015.4899999999998</v>
          </cell>
          <cell r="AG258" t="str">
            <v xml:space="preserve">       b.  Assisted Living Home (Adult Care Home)</v>
          </cell>
          <cell r="AH258">
            <v>0</v>
          </cell>
          <cell r="AI258">
            <v>30.16</v>
          </cell>
          <cell r="AJ258">
            <v>0</v>
          </cell>
          <cell r="AK258">
            <v>10.3</v>
          </cell>
          <cell r="AL258">
            <v>0</v>
          </cell>
          <cell r="AM258">
            <v>40.46</v>
          </cell>
          <cell r="AO258" t="str">
            <v xml:space="preserve">       b.  Assisted Living Home (Adult Care Home)</v>
          </cell>
          <cell r="AP258">
            <v>0</v>
          </cell>
          <cell r="AQ258">
            <v>84.77</v>
          </cell>
          <cell r="AR258">
            <v>0</v>
          </cell>
          <cell r="AS258">
            <v>12</v>
          </cell>
          <cell r="AT258">
            <v>0</v>
          </cell>
          <cell r="AU258">
            <v>96.77</v>
          </cell>
          <cell r="AW258" t="str">
            <v xml:space="preserve">       b.  Assisted Living Home (Adult Care Home)</v>
          </cell>
          <cell r="AX258">
            <v>0</v>
          </cell>
          <cell r="AY258">
            <v>114.64999999999999</v>
          </cell>
          <cell r="AZ258">
            <v>0</v>
          </cell>
          <cell r="BA258">
            <v>10.27</v>
          </cell>
          <cell r="BB258">
            <v>0</v>
          </cell>
          <cell r="BC258">
            <v>124.91999999999999</v>
          </cell>
        </row>
        <row r="259">
          <cell r="A259" t="str">
            <v xml:space="preserve">       c.  Group Home (DD)</v>
          </cell>
          <cell r="B259">
            <v>0</v>
          </cell>
          <cell r="C259">
            <v>0</v>
          </cell>
          <cell r="D259">
            <v>0</v>
          </cell>
          <cell r="E259">
            <v>0</v>
          </cell>
          <cell r="F259">
            <v>0</v>
          </cell>
          <cell r="G259">
            <v>0</v>
          </cell>
          <cell r="I259" t="str">
            <v xml:space="preserve">       c.  Group Home (DD)</v>
          </cell>
          <cell r="J259">
            <v>0</v>
          </cell>
          <cell r="K259">
            <v>0</v>
          </cell>
          <cell r="L259">
            <v>0</v>
          </cell>
          <cell r="M259">
            <v>0</v>
          </cell>
          <cell r="N259">
            <v>0</v>
          </cell>
          <cell r="O259">
            <v>0</v>
          </cell>
          <cell r="Q259" t="str">
            <v xml:space="preserve">       c.  Group Home (DD)</v>
          </cell>
          <cell r="R259">
            <v>0</v>
          </cell>
          <cell r="S259">
            <v>0</v>
          </cell>
          <cell r="T259">
            <v>0</v>
          </cell>
          <cell r="U259">
            <v>0</v>
          </cell>
          <cell r="V259">
            <v>0</v>
          </cell>
          <cell r="W259">
            <v>0</v>
          </cell>
          <cell r="Y259" t="str">
            <v xml:space="preserve">       c.  Group Home (DD)</v>
          </cell>
          <cell r="Z259">
            <v>0</v>
          </cell>
          <cell r="AA259">
            <v>4.0299999999999994</v>
          </cell>
          <cell r="AB259">
            <v>0</v>
          </cell>
          <cell r="AC259">
            <v>0</v>
          </cell>
          <cell r="AD259">
            <v>0</v>
          </cell>
          <cell r="AE259">
            <v>4.0299999999999994</v>
          </cell>
          <cell r="AG259" t="str">
            <v xml:space="preserve">       c.  Group Home (DD)</v>
          </cell>
          <cell r="AH259">
            <v>0</v>
          </cell>
          <cell r="AI259">
            <v>0</v>
          </cell>
          <cell r="AJ259">
            <v>0</v>
          </cell>
          <cell r="AK259">
            <v>0</v>
          </cell>
          <cell r="AL259">
            <v>0</v>
          </cell>
          <cell r="AM259">
            <v>0</v>
          </cell>
          <cell r="AO259" t="str">
            <v xml:space="preserve">       c.  Group Home (DD)</v>
          </cell>
          <cell r="AP259">
            <v>0</v>
          </cell>
          <cell r="AQ259">
            <v>0</v>
          </cell>
          <cell r="AR259">
            <v>0</v>
          </cell>
          <cell r="AS259">
            <v>0</v>
          </cell>
          <cell r="AT259">
            <v>0</v>
          </cell>
          <cell r="AU259">
            <v>0</v>
          </cell>
          <cell r="AW259" t="str">
            <v xml:space="preserve">       c.  Group Home (DD)</v>
          </cell>
          <cell r="AX259">
            <v>0</v>
          </cell>
          <cell r="AY259">
            <v>0</v>
          </cell>
          <cell r="AZ259">
            <v>0</v>
          </cell>
          <cell r="BA259">
            <v>0</v>
          </cell>
          <cell r="BB259">
            <v>0</v>
          </cell>
          <cell r="BC259">
            <v>0</v>
          </cell>
        </row>
        <row r="260">
          <cell r="A260" t="str">
            <v xml:space="preserve">       d.  Individual Home</v>
          </cell>
          <cell r="B260">
            <v>0</v>
          </cell>
          <cell r="C260">
            <v>79.72999999999999</v>
          </cell>
          <cell r="D260">
            <v>0</v>
          </cell>
          <cell r="E260">
            <v>36.950000000000003</v>
          </cell>
          <cell r="F260">
            <v>0</v>
          </cell>
          <cell r="G260">
            <v>116.67999999999999</v>
          </cell>
          <cell r="I260" t="str">
            <v xml:space="preserve">       d.  Individual Home</v>
          </cell>
          <cell r="J260">
            <v>0</v>
          </cell>
          <cell r="K260">
            <v>104.99</v>
          </cell>
          <cell r="L260">
            <v>0</v>
          </cell>
          <cell r="M260">
            <v>45.69</v>
          </cell>
          <cell r="N260">
            <v>0</v>
          </cell>
          <cell r="O260">
            <v>150.68</v>
          </cell>
          <cell r="Q260" t="str">
            <v xml:space="preserve">       d.  Individual Home</v>
          </cell>
          <cell r="R260">
            <v>0</v>
          </cell>
          <cell r="S260">
            <v>69.900000000000006</v>
          </cell>
          <cell r="T260">
            <v>0</v>
          </cell>
          <cell r="U260">
            <v>3</v>
          </cell>
          <cell r="V260">
            <v>0</v>
          </cell>
          <cell r="W260">
            <v>72.900000000000006</v>
          </cell>
          <cell r="Y260" t="str">
            <v xml:space="preserve">       d.  Individual Home</v>
          </cell>
          <cell r="Z260">
            <v>0</v>
          </cell>
          <cell r="AA260">
            <v>1965.87</v>
          </cell>
          <cell r="AB260">
            <v>0</v>
          </cell>
          <cell r="AC260">
            <v>726.05</v>
          </cell>
          <cell r="AD260">
            <v>0</v>
          </cell>
          <cell r="AE260">
            <v>2691.92</v>
          </cell>
          <cell r="AG260" t="str">
            <v xml:space="preserve">       d.  Individual Home</v>
          </cell>
          <cell r="AH260">
            <v>0</v>
          </cell>
          <cell r="AI260">
            <v>534.37</v>
          </cell>
          <cell r="AJ260">
            <v>0</v>
          </cell>
          <cell r="AK260">
            <v>126.09</v>
          </cell>
          <cell r="AL260">
            <v>0</v>
          </cell>
          <cell r="AM260">
            <v>660.46</v>
          </cell>
          <cell r="AO260" t="str">
            <v xml:space="preserve">       d.  Individual Home</v>
          </cell>
          <cell r="AP260">
            <v>0</v>
          </cell>
          <cell r="AQ260">
            <v>196.08</v>
          </cell>
          <cell r="AR260">
            <v>0</v>
          </cell>
          <cell r="AS260">
            <v>78.42</v>
          </cell>
          <cell r="AT260">
            <v>0</v>
          </cell>
          <cell r="AU260">
            <v>274.5</v>
          </cell>
          <cell r="AW260" t="str">
            <v xml:space="preserve">       d.  Individual Home</v>
          </cell>
          <cell r="AX260">
            <v>0</v>
          </cell>
          <cell r="AY260">
            <v>336.13</v>
          </cell>
          <cell r="AZ260">
            <v>0</v>
          </cell>
          <cell r="BA260">
            <v>124.83999999999999</v>
          </cell>
          <cell r="BB260">
            <v>0</v>
          </cell>
          <cell r="BC260">
            <v>460.96999999999997</v>
          </cell>
        </row>
        <row r="261">
          <cell r="A261" t="str">
            <v xml:space="preserve">       e.  Assisted Living Centers (SRL)</v>
          </cell>
          <cell r="B261">
            <v>0</v>
          </cell>
          <cell r="C261">
            <v>3.3200000000000003</v>
          </cell>
          <cell r="D261">
            <v>0</v>
          </cell>
          <cell r="E261">
            <v>3</v>
          </cell>
          <cell r="F261">
            <v>0</v>
          </cell>
          <cell r="G261">
            <v>6.32</v>
          </cell>
          <cell r="I261" t="str">
            <v xml:space="preserve">       e.  Assisted Living Centers (SRL)</v>
          </cell>
          <cell r="J261">
            <v>0</v>
          </cell>
          <cell r="K261">
            <v>144.38999999999999</v>
          </cell>
          <cell r="L261">
            <v>0</v>
          </cell>
          <cell r="M261">
            <v>8.17</v>
          </cell>
          <cell r="N261">
            <v>0</v>
          </cell>
          <cell r="O261">
            <v>152.55999999999997</v>
          </cell>
          <cell r="Q261" t="str">
            <v xml:space="preserve">       e.  Assisted Living Centers (SRL)</v>
          </cell>
          <cell r="R261">
            <v>0</v>
          </cell>
          <cell r="S261">
            <v>8.65</v>
          </cell>
          <cell r="T261">
            <v>0</v>
          </cell>
          <cell r="U261">
            <v>0</v>
          </cell>
          <cell r="V261">
            <v>0</v>
          </cell>
          <cell r="W261">
            <v>8.65</v>
          </cell>
          <cell r="Y261" t="str">
            <v xml:space="preserve">       e.  Assisted Living Centers (SRL)</v>
          </cell>
          <cell r="Z261">
            <v>0</v>
          </cell>
          <cell r="AA261">
            <v>2157.25</v>
          </cell>
          <cell r="AB261">
            <v>0</v>
          </cell>
          <cell r="AC261">
            <v>134.42000000000002</v>
          </cell>
          <cell r="AD261">
            <v>0</v>
          </cell>
          <cell r="AE261">
            <v>2291.67</v>
          </cell>
          <cell r="AG261" t="str">
            <v xml:space="preserve">       e.  Assisted Living Centers (SRL)</v>
          </cell>
          <cell r="AH261">
            <v>0</v>
          </cell>
          <cell r="AI261">
            <v>365.73</v>
          </cell>
          <cell r="AJ261">
            <v>0</v>
          </cell>
          <cell r="AK261">
            <v>51.73</v>
          </cell>
          <cell r="AL261">
            <v>0</v>
          </cell>
          <cell r="AM261">
            <v>417.46000000000004</v>
          </cell>
          <cell r="AO261" t="str">
            <v xml:space="preserve">       e.  Assisted Living Centers (SRL)</v>
          </cell>
          <cell r="AP261">
            <v>0</v>
          </cell>
          <cell r="AQ261">
            <v>57.95</v>
          </cell>
          <cell r="AR261">
            <v>0</v>
          </cell>
          <cell r="AS261">
            <v>9.8000000000000007</v>
          </cell>
          <cell r="AT261">
            <v>0</v>
          </cell>
          <cell r="AU261">
            <v>67.75</v>
          </cell>
          <cell r="AW261" t="str">
            <v xml:space="preserve">       e.  Assisted Living Centers (SRL)</v>
          </cell>
          <cell r="AX261">
            <v>0</v>
          </cell>
          <cell r="AY261">
            <v>144.34</v>
          </cell>
          <cell r="AZ261">
            <v>0</v>
          </cell>
          <cell r="BA261">
            <v>16.86</v>
          </cell>
          <cell r="BB261">
            <v>0</v>
          </cell>
          <cell r="BC261">
            <v>161.19999999999999</v>
          </cell>
        </row>
        <row r="262">
          <cell r="A262" t="str">
            <v xml:space="preserve">       f.  Other (Hospice)</v>
          </cell>
          <cell r="B262">
            <v>0</v>
          </cell>
          <cell r="C262">
            <v>17.420000000000002</v>
          </cell>
          <cell r="D262">
            <v>0</v>
          </cell>
          <cell r="E262">
            <v>0</v>
          </cell>
          <cell r="F262">
            <v>0</v>
          </cell>
          <cell r="G262">
            <v>17.420000000000002</v>
          </cell>
          <cell r="I262" t="str">
            <v xml:space="preserve">       f.  Other (Hospice)</v>
          </cell>
          <cell r="J262">
            <v>0</v>
          </cell>
          <cell r="K262">
            <v>1.9100000000000001</v>
          </cell>
          <cell r="L262">
            <v>0</v>
          </cell>
          <cell r="M262">
            <v>0</v>
          </cell>
          <cell r="N262">
            <v>0</v>
          </cell>
          <cell r="O262">
            <v>1.9100000000000001</v>
          </cell>
          <cell r="Q262" t="str">
            <v xml:space="preserve">       f.  Other (Hospice)</v>
          </cell>
          <cell r="R262">
            <v>0</v>
          </cell>
          <cell r="S262">
            <v>0</v>
          </cell>
          <cell r="T262">
            <v>0</v>
          </cell>
          <cell r="U262">
            <v>3</v>
          </cell>
          <cell r="V262">
            <v>0</v>
          </cell>
          <cell r="W262">
            <v>3</v>
          </cell>
          <cell r="Y262" t="str">
            <v xml:space="preserve">       f.  Other (Hospice)</v>
          </cell>
          <cell r="Z262">
            <v>0</v>
          </cell>
          <cell r="AA262">
            <v>287.98</v>
          </cell>
          <cell r="AB262">
            <v>0</v>
          </cell>
          <cell r="AC262">
            <v>6.83</v>
          </cell>
          <cell r="AD262">
            <v>0</v>
          </cell>
          <cell r="AE262">
            <v>294.81</v>
          </cell>
          <cell r="AG262" t="str">
            <v xml:space="preserve">       f.  Other (Hospice)</v>
          </cell>
          <cell r="AH262">
            <v>0</v>
          </cell>
          <cell r="AI262">
            <v>4.0600000000000005</v>
          </cell>
          <cell r="AJ262">
            <v>0</v>
          </cell>
          <cell r="AK262">
            <v>0</v>
          </cell>
          <cell r="AL262">
            <v>0</v>
          </cell>
          <cell r="AM262">
            <v>4.0600000000000005</v>
          </cell>
          <cell r="AO262" t="str">
            <v xml:space="preserve">       f.  Other (Hospice)</v>
          </cell>
          <cell r="AP262">
            <v>0</v>
          </cell>
          <cell r="AQ262">
            <v>16.420000000000002</v>
          </cell>
          <cell r="AR262">
            <v>0</v>
          </cell>
          <cell r="AS262">
            <v>6.49</v>
          </cell>
          <cell r="AT262">
            <v>0</v>
          </cell>
          <cell r="AU262">
            <v>22.910000000000004</v>
          </cell>
          <cell r="AW262" t="str">
            <v xml:space="preserve">       f.  Other (Hospice)</v>
          </cell>
          <cell r="AX262">
            <v>0</v>
          </cell>
          <cell r="AY262">
            <v>25.36</v>
          </cell>
          <cell r="AZ262">
            <v>0</v>
          </cell>
          <cell r="BA262">
            <v>1.9</v>
          </cell>
          <cell r="BB262">
            <v>0</v>
          </cell>
          <cell r="BC262">
            <v>27.259999999999998</v>
          </cell>
        </row>
        <row r="263">
          <cell r="A263" t="str">
            <v xml:space="preserve">       g.  Attendant Care</v>
          </cell>
          <cell r="B263">
            <v>0</v>
          </cell>
          <cell r="C263">
            <v>48.48</v>
          </cell>
          <cell r="D263">
            <v>0</v>
          </cell>
          <cell r="E263">
            <v>9</v>
          </cell>
          <cell r="F263">
            <v>0</v>
          </cell>
          <cell r="G263">
            <v>57.48</v>
          </cell>
          <cell r="I263" t="str">
            <v xml:space="preserve">       g.  Attendant Care</v>
          </cell>
          <cell r="J263">
            <v>0</v>
          </cell>
          <cell r="K263">
            <v>68.13</v>
          </cell>
          <cell r="L263">
            <v>0</v>
          </cell>
          <cell r="M263">
            <v>28.619999999999997</v>
          </cell>
          <cell r="N263">
            <v>0</v>
          </cell>
          <cell r="O263">
            <v>96.75</v>
          </cell>
          <cell r="Q263" t="str">
            <v xml:space="preserve">       g.  Attendant Care</v>
          </cell>
          <cell r="R263">
            <v>0</v>
          </cell>
          <cell r="S263">
            <v>17</v>
          </cell>
          <cell r="T263">
            <v>0</v>
          </cell>
          <cell r="U263">
            <v>8.07</v>
          </cell>
          <cell r="V263">
            <v>0</v>
          </cell>
          <cell r="W263">
            <v>25.07</v>
          </cell>
          <cell r="Y263" t="str">
            <v xml:space="preserve">       g.  Attendant Care</v>
          </cell>
          <cell r="Z263">
            <v>0</v>
          </cell>
          <cell r="AA263">
            <v>2083.3200000000002</v>
          </cell>
          <cell r="AB263">
            <v>0</v>
          </cell>
          <cell r="AC263">
            <v>496.35</v>
          </cell>
          <cell r="AD263">
            <v>0</v>
          </cell>
          <cell r="AE263">
            <v>2579.67</v>
          </cell>
          <cell r="AG263" t="str">
            <v xml:space="preserve">       g.  Attendant Care</v>
          </cell>
          <cell r="AH263">
            <v>0</v>
          </cell>
          <cell r="AI263">
            <v>378.56</v>
          </cell>
          <cell r="AJ263">
            <v>0</v>
          </cell>
          <cell r="AK263">
            <v>57.490000000000009</v>
          </cell>
          <cell r="AL263">
            <v>0</v>
          </cell>
          <cell r="AM263">
            <v>436.05</v>
          </cell>
          <cell r="AO263" t="str">
            <v xml:space="preserve">       g.  Attendant Care</v>
          </cell>
          <cell r="AP263">
            <v>0</v>
          </cell>
          <cell r="AQ263">
            <v>124.47</v>
          </cell>
          <cell r="AR263">
            <v>0</v>
          </cell>
          <cell r="AS263">
            <v>29</v>
          </cell>
          <cell r="AT263">
            <v>0</v>
          </cell>
          <cell r="AU263">
            <v>153.47</v>
          </cell>
          <cell r="AW263" t="str">
            <v xml:space="preserve">       g.  Attendant Care</v>
          </cell>
          <cell r="AX263">
            <v>0</v>
          </cell>
          <cell r="AY263">
            <v>397.32000000000005</v>
          </cell>
          <cell r="AZ263">
            <v>0</v>
          </cell>
          <cell r="BA263">
            <v>105.08000000000001</v>
          </cell>
          <cell r="BB263">
            <v>0</v>
          </cell>
          <cell r="BC263">
            <v>502.40000000000009</v>
          </cell>
        </row>
        <row r="264">
          <cell r="A264" t="str">
            <v xml:space="preserve">   8.  Acute Care</v>
          </cell>
          <cell r="B264">
            <v>0</v>
          </cell>
          <cell r="C264">
            <v>3.2</v>
          </cell>
          <cell r="D264">
            <v>0</v>
          </cell>
          <cell r="E264">
            <v>0</v>
          </cell>
          <cell r="F264">
            <v>0</v>
          </cell>
          <cell r="G264">
            <v>3.2</v>
          </cell>
          <cell r="I264" t="str">
            <v xml:space="preserve">   8.  Acute Care</v>
          </cell>
          <cell r="J264">
            <v>0</v>
          </cell>
          <cell r="K264">
            <v>11</v>
          </cell>
          <cell r="L264">
            <v>0</v>
          </cell>
          <cell r="M264">
            <v>6.0299999999999994</v>
          </cell>
          <cell r="N264">
            <v>0</v>
          </cell>
          <cell r="O264">
            <v>17.03</v>
          </cell>
          <cell r="Q264" t="str">
            <v xml:space="preserve">   8.  Acute Care</v>
          </cell>
          <cell r="R264">
            <v>0</v>
          </cell>
          <cell r="S264">
            <v>7.5299999999999994</v>
          </cell>
          <cell r="T264">
            <v>0</v>
          </cell>
          <cell r="U264">
            <v>0</v>
          </cell>
          <cell r="V264">
            <v>0</v>
          </cell>
          <cell r="W264">
            <v>7.5299999999999994</v>
          </cell>
          <cell r="Y264" t="str">
            <v xml:space="preserve">   8.  Acute Care</v>
          </cell>
          <cell r="Z264">
            <v>0</v>
          </cell>
          <cell r="AA264">
            <v>114.88</v>
          </cell>
          <cell r="AB264">
            <v>0</v>
          </cell>
          <cell r="AC264">
            <v>85.009999999999991</v>
          </cell>
          <cell r="AD264">
            <v>0</v>
          </cell>
          <cell r="AE264">
            <v>199.89</v>
          </cell>
          <cell r="AG264" t="str">
            <v xml:space="preserve">   8.  Acute Care</v>
          </cell>
          <cell r="AH264">
            <v>0</v>
          </cell>
          <cell r="AI264">
            <v>6.9</v>
          </cell>
          <cell r="AJ264">
            <v>0</v>
          </cell>
          <cell r="AK264">
            <v>0</v>
          </cell>
          <cell r="AL264">
            <v>0</v>
          </cell>
          <cell r="AM264">
            <v>6.9</v>
          </cell>
          <cell r="AO264" t="str">
            <v xml:space="preserve">   8.  Acute Care</v>
          </cell>
          <cell r="AP264">
            <v>0</v>
          </cell>
          <cell r="AQ264">
            <v>4.57</v>
          </cell>
          <cell r="AR264">
            <v>0</v>
          </cell>
          <cell r="AS264">
            <v>0</v>
          </cell>
          <cell r="AT264">
            <v>0</v>
          </cell>
          <cell r="AU264">
            <v>4.57</v>
          </cell>
          <cell r="AW264" t="str">
            <v xml:space="preserve">   8.  Acute Care</v>
          </cell>
          <cell r="AX264">
            <v>0</v>
          </cell>
          <cell r="AY264">
            <v>5</v>
          </cell>
          <cell r="AZ264">
            <v>0</v>
          </cell>
          <cell r="BA264">
            <v>5</v>
          </cell>
          <cell r="BB264">
            <v>0</v>
          </cell>
          <cell r="BC264">
            <v>10</v>
          </cell>
        </row>
        <row r="265">
          <cell r="A265" t="str">
            <v xml:space="preserve">   9.  Ventilator</v>
          </cell>
          <cell r="B265">
            <v>0</v>
          </cell>
          <cell r="C265">
            <v>0</v>
          </cell>
          <cell r="D265">
            <v>0</v>
          </cell>
          <cell r="E265">
            <v>0</v>
          </cell>
          <cell r="F265">
            <v>0</v>
          </cell>
          <cell r="G265">
            <v>0</v>
          </cell>
          <cell r="I265" t="str">
            <v xml:space="preserve">   9.  Ventilator</v>
          </cell>
          <cell r="J265">
            <v>0</v>
          </cell>
          <cell r="K265">
            <v>0</v>
          </cell>
          <cell r="L265">
            <v>0</v>
          </cell>
          <cell r="M265">
            <v>3</v>
          </cell>
          <cell r="N265">
            <v>0</v>
          </cell>
          <cell r="O265">
            <v>3</v>
          </cell>
          <cell r="Q265" t="str">
            <v xml:space="preserve">   9.  Ventilator</v>
          </cell>
          <cell r="R265">
            <v>0</v>
          </cell>
          <cell r="S265">
            <v>0</v>
          </cell>
          <cell r="T265">
            <v>0</v>
          </cell>
          <cell r="U265">
            <v>0</v>
          </cell>
          <cell r="V265">
            <v>0</v>
          </cell>
          <cell r="W265">
            <v>0</v>
          </cell>
          <cell r="Y265" t="str">
            <v xml:space="preserve">   9.  Ventilator</v>
          </cell>
          <cell r="Z265">
            <v>0</v>
          </cell>
          <cell r="AA265">
            <v>64.25</v>
          </cell>
          <cell r="AB265">
            <v>0</v>
          </cell>
          <cell r="AC265">
            <v>56.510000000000005</v>
          </cell>
          <cell r="AD265">
            <v>0</v>
          </cell>
          <cell r="AE265">
            <v>120.76</v>
          </cell>
          <cell r="AG265" t="str">
            <v xml:space="preserve">   9.  Ventilator</v>
          </cell>
          <cell r="AH265">
            <v>0</v>
          </cell>
          <cell r="AI265">
            <v>4</v>
          </cell>
          <cell r="AJ265">
            <v>0</v>
          </cell>
          <cell r="AK265">
            <v>0</v>
          </cell>
          <cell r="AL265">
            <v>0</v>
          </cell>
          <cell r="AM265">
            <v>4</v>
          </cell>
          <cell r="AO265" t="str">
            <v xml:space="preserve">   9.  Ventilator</v>
          </cell>
          <cell r="AP265">
            <v>0</v>
          </cell>
          <cell r="AQ265">
            <v>4</v>
          </cell>
          <cell r="AR265">
            <v>0</v>
          </cell>
          <cell r="AS265">
            <v>3</v>
          </cell>
          <cell r="AT265">
            <v>0</v>
          </cell>
          <cell r="AU265">
            <v>7</v>
          </cell>
          <cell r="AW265" t="str">
            <v xml:space="preserve">   9.  Ventilator</v>
          </cell>
          <cell r="AX265">
            <v>0</v>
          </cell>
          <cell r="AY265">
            <v>0</v>
          </cell>
          <cell r="AZ265">
            <v>0</v>
          </cell>
          <cell r="BA265">
            <v>3</v>
          </cell>
          <cell r="BB265">
            <v>0</v>
          </cell>
          <cell r="BC265">
            <v>3</v>
          </cell>
        </row>
        <row r="266">
          <cell r="A266" t="str">
            <v xml:space="preserve">  10.  Prior Period</v>
          </cell>
          <cell r="B266">
            <v>0</v>
          </cell>
          <cell r="C266">
            <v>1.9666999999999999</v>
          </cell>
          <cell r="D266">
            <v>0</v>
          </cell>
          <cell r="E266">
            <v>0</v>
          </cell>
          <cell r="F266">
            <v>0</v>
          </cell>
          <cell r="G266">
            <v>1.9666999999999999</v>
          </cell>
          <cell r="I266" t="str">
            <v xml:space="preserve">  10.  Prior Period</v>
          </cell>
          <cell r="J266">
            <v>0</v>
          </cell>
          <cell r="K266">
            <v>16.677399999999999</v>
          </cell>
          <cell r="L266">
            <v>0</v>
          </cell>
          <cell r="M266">
            <v>4.9333</v>
          </cell>
          <cell r="N266">
            <v>0</v>
          </cell>
          <cell r="O266">
            <v>21.610699999999998</v>
          </cell>
          <cell r="Q266" t="str">
            <v xml:space="preserve">  10.  Prior Period</v>
          </cell>
          <cell r="R266">
            <v>0</v>
          </cell>
          <cell r="S266">
            <v>19.161200000000001</v>
          </cell>
          <cell r="T266">
            <v>0</v>
          </cell>
          <cell r="U266">
            <v>0</v>
          </cell>
          <cell r="V266">
            <v>0</v>
          </cell>
          <cell r="W266">
            <v>19.161200000000001</v>
          </cell>
          <cell r="Y266" t="str">
            <v xml:space="preserve">  10.  Prior Period</v>
          </cell>
          <cell r="Z266">
            <v>0</v>
          </cell>
          <cell r="AA266">
            <v>506.45180000000005</v>
          </cell>
          <cell r="AB266">
            <v>0</v>
          </cell>
          <cell r="AC266">
            <v>36.459099999999999</v>
          </cell>
          <cell r="AD266">
            <v>0</v>
          </cell>
          <cell r="AE266">
            <v>542.91090000000008</v>
          </cell>
          <cell r="AG266" t="str">
            <v xml:space="preserve">  10.  Prior Period</v>
          </cell>
          <cell r="AH266">
            <v>0</v>
          </cell>
          <cell r="AI266">
            <v>80.073099999999997</v>
          </cell>
          <cell r="AJ266">
            <v>0</v>
          </cell>
          <cell r="AK266">
            <v>9.0333000000000006</v>
          </cell>
          <cell r="AL266">
            <v>0</v>
          </cell>
          <cell r="AM266">
            <v>89.106399999999994</v>
          </cell>
          <cell r="AO266" t="str">
            <v xml:space="preserve">  10.  Prior Period</v>
          </cell>
          <cell r="AP266">
            <v>0</v>
          </cell>
          <cell r="AQ266">
            <v>21.099999999999998</v>
          </cell>
          <cell r="AR266">
            <v>0</v>
          </cell>
          <cell r="AS266">
            <v>3.2300000000000002E-2</v>
          </cell>
          <cell r="AT266">
            <v>0</v>
          </cell>
          <cell r="AU266">
            <v>21.132299999999997</v>
          </cell>
          <cell r="AW266" t="str">
            <v xml:space="preserve">  10.  Prior Period</v>
          </cell>
          <cell r="AX266">
            <v>0</v>
          </cell>
          <cell r="AY266">
            <v>39.611800000000002</v>
          </cell>
          <cell r="AZ266">
            <v>0</v>
          </cell>
          <cell r="BA266">
            <v>0</v>
          </cell>
          <cell r="BB266">
            <v>0</v>
          </cell>
          <cell r="BC266">
            <v>39.611800000000002</v>
          </cell>
        </row>
        <row r="267">
          <cell r="A267" t="str">
            <v xml:space="preserve">  11.  Other - Not Placed</v>
          </cell>
          <cell r="B267">
            <v>0</v>
          </cell>
          <cell r="C267">
            <v>-23.29</v>
          </cell>
          <cell r="D267">
            <v>0</v>
          </cell>
          <cell r="E267">
            <v>-7</v>
          </cell>
          <cell r="F267">
            <v>0</v>
          </cell>
          <cell r="G267">
            <v>-30.29</v>
          </cell>
          <cell r="I267" t="str">
            <v xml:space="preserve">  11.  Other - Not Placed</v>
          </cell>
          <cell r="J267">
            <v>0</v>
          </cell>
          <cell r="K267">
            <v>-42.91</v>
          </cell>
          <cell r="L267">
            <v>0</v>
          </cell>
          <cell r="M267">
            <v>-4.43</v>
          </cell>
          <cell r="N267">
            <v>0</v>
          </cell>
          <cell r="O267">
            <v>-47.339999999999996</v>
          </cell>
          <cell r="Q267" t="str">
            <v xml:space="preserve">  11.  Other - Not Placed</v>
          </cell>
          <cell r="R267">
            <v>0</v>
          </cell>
          <cell r="S267">
            <v>-22.83</v>
          </cell>
          <cell r="T267">
            <v>0</v>
          </cell>
          <cell r="U267">
            <v>0</v>
          </cell>
          <cell r="V267">
            <v>0</v>
          </cell>
          <cell r="W267">
            <v>-22.83</v>
          </cell>
          <cell r="Y267" t="str">
            <v xml:space="preserve">  11.  Other - Not Placed</v>
          </cell>
          <cell r="Z267">
            <v>0</v>
          </cell>
          <cell r="AA267">
            <v>-1251.3499999999979</v>
          </cell>
          <cell r="AB267">
            <v>0</v>
          </cell>
          <cell r="AC267">
            <v>-184.51999999999998</v>
          </cell>
          <cell r="AD267">
            <v>0</v>
          </cell>
          <cell r="AE267">
            <v>-1435.8699999999978</v>
          </cell>
          <cell r="AG267" t="str">
            <v xml:space="preserve">  11.  Other - Not Placed</v>
          </cell>
          <cell r="AH267">
            <v>0</v>
          </cell>
          <cell r="AI267">
            <v>-294.55</v>
          </cell>
          <cell r="AJ267">
            <v>0</v>
          </cell>
          <cell r="AK267">
            <v>-14.290000000000001</v>
          </cell>
          <cell r="AL267">
            <v>0</v>
          </cell>
          <cell r="AM267">
            <v>-308.84000000000003</v>
          </cell>
          <cell r="AO267" t="str">
            <v xml:space="preserve">  11.  Other - Not Placed</v>
          </cell>
          <cell r="AP267">
            <v>0</v>
          </cell>
          <cell r="AQ267">
            <v>-31.769999999999996</v>
          </cell>
          <cell r="AR267">
            <v>0</v>
          </cell>
          <cell r="AS267">
            <v>-18.259999999999998</v>
          </cell>
          <cell r="AT267">
            <v>0</v>
          </cell>
          <cell r="AU267">
            <v>-50.029999999999994</v>
          </cell>
          <cell r="AW267" t="str">
            <v xml:space="preserve">  11.  Other - Not Placed</v>
          </cell>
          <cell r="AX267">
            <v>0</v>
          </cell>
          <cell r="AY267">
            <v>-270.71000000000004</v>
          </cell>
          <cell r="AZ267">
            <v>0</v>
          </cell>
          <cell r="BA267">
            <v>-48.54</v>
          </cell>
          <cell r="BB267">
            <v>0</v>
          </cell>
          <cell r="BC267">
            <v>-319.25000000000006</v>
          </cell>
        </row>
        <row r="269">
          <cell r="A269" t="str">
            <v>C.   Acute Patient Day Information</v>
          </cell>
          <cell r="I269" t="str">
            <v>C.   Acute Patient Day Information</v>
          </cell>
          <cell r="Q269" t="str">
            <v>C.   Acute Patient Day Information</v>
          </cell>
          <cell r="Y269" t="str">
            <v>C.   Acute Patient Day Information</v>
          </cell>
          <cell r="AG269" t="str">
            <v>C.   Acute Patient Day Information</v>
          </cell>
          <cell r="AO269" t="str">
            <v>C.   Acute Patient Day Information</v>
          </cell>
          <cell r="AW269" t="str">
            <v>C.   Acute Patient Day Information</v>
          </cell>
        </row>
        <row r="270">
          <cell r="A270" t="str">
            <v xml:space="preserve">       a.  Admissions</v>
          </cell>
          <cell r="B270">
            <v>0</v>
          </cell>
          <cell r="C270">
            <v>16</v>
          </cell>
          <cell r="D270">
            <v>0</v>
          </cell>
          <cell r="E270">
            <v>2</v>
          </cell>
          <cell r="F270">
            <v>0</v>
          </cell>
          <cell r="G270">
            <v>18</v>
          </cell>
          <cell r="I270" t="str">
            <v xml:space="preserve">       a.  Admissions</v>
          </cell>
          <cell r="J270">
            <v>0</v>
          </cell>
          <cell r="K270">
            <v>28</v>
          </cell>
          <cell r="L270">
            <v>0</v>
          </cell>
          <cell r="M270">
            <v>10</v>
          </cell>
          <cell r="N270">
            <v>0</v>
          </cell>
          <cell r="O270">
            <v>38</v>
          </cell>
          <cell r="Q270" t="str">
            <v xml:space="preserve">       a.  Admissions</v>
          </cell>
          <cell r="R270">
            <v>0</v>
          </cell>
          <cell r="S270">
            <v>17</v>
          </cell>
          <cell r="T270">
            <v>0</v>
          </cell>
          <cell r="U270">
            <v>2</v>
          </cell>
          <cell r="V270">
            <v>0</v>
          </cell>
          <cell r="W270">
            <v>19</v>
          </cell>
          <cell r="Y270" t="str">
            <v xml:space="preserve">       a.  Admissions</v>
          </cell>
          <cell r="Z270">
            <v>0</v>
          </cell>
          <cell r="AA270">
            <v>789</v>
          </cell>
          <cell r="AB270">
            <v>0</v>
          </cell>
          <cell r="AC270">
            <v>142</v>
          </cell>
          <cell r="AD270">
            <v>0</v>
          </cell>
          <cell r="AE270">
            <v>931</v>
          </cell>
          <cell r="AG270" t="str">
            <v xml:space="preserve">       a.  Admissions</v>
          </cell>
          <cell r="AH270">
            <v>0</v>
          </cell>
          <cell r="AI270">
            <v>125</v>
          </cell>
          <cell r="AJ270">
            <v>0</v>
          </cell>
          <cell r="AK270">
            <v>34</v>
          </cell>
          <cell r="AL270">
            <v>0</v>
          </cell>
          <cell r="AM270">
            <v>159</v>
          </cell>
          <cell r="AO270" t="str">
            <v xml:space="preserve">       a.  Admissions</v>
          </cell>
          <cell r="AP270">
            <v>0</v>
          </cell>
          <cell r="AQ270">
            <v>34</v>
          </cell>
          <cell r="AR270">
            <v>0</v>
          </cell>
          <cell r="AS270">
            <v>7</v>
          </cell>
          <cell r="AT270">
            <v>0</v>
          </cell>
          <cell r="AU270">
            <v>41</v>
          </cell>
          <cell r="AW270" t="str">
            <v xml:space="preserve">       a.  Admissions</v>
          </cell>
          <cell r="AX270">
            <v>0</v>
          </cell>
          <cell r="AY270">
            <v>112</v>
          </cell>
          <cell r="AZ270">
            <v>0</v>
          </cell>
          <cell r="BA270">
            <v>14</v>
          </cell>
          <cell r="BB270">
            <v>0</v>
          </cell>
          <cell r="BC270">
            <v>126</v>
          </cell>
        </row>
        <row r="271">
          <cell r="A271" t="str">
            <v xml:space="preserve">       b.  Patient Days</v>
          </cell>
          <cell r="B271">
            <v>0</v>
          </cell>
          <cell r="C271">
            <v>76</v>
          </cell>
          <cell r="D271">
            <v>0</v>
          </cell>
          <cell r="E271">
            <v>11</v>
          </cell>
          <cell r="F271">
            <v>0</v>
          </cell>
          <cell r="G271">
            <v>87</v>
          </cell>
          <cell r="I271" t="str">
            <v xml:space="preserve">       b.  Patient Days</v>
          </cell>
          <cell r="J271">
            <v>0</v>
          </cell>
          <cell r="K271">
            <v>170</v>
          </cell>
          <cell r="L271">
            <v>0</v>
          </cell>
          <cell r="M271">
            <v>63</v>
          </cell>
          <cell r="N271">
            <v>0</v>
          </cell>
          <cell r="O271">
            <v>233</v>
          </cell>
          <cell r="Q271" t="str">
            <v xml:space="preserve">       b.  Patient Days</v>
          </cell>
          <cell r="R271">
            <v>0</v>
          </cell>
          <cell r="S271">
            <v>95</v>
          </cell>
          <cell r="T271">
            <v>0</v>
          </cell>
          <cell r="U271">
            <v>6</v>
          </cell>
          <cell r="V271">
            <v>0</v>
          </cell>
          <cell r="W271">
            <v>101</v>
          </cell>
          <cell r="Y271" t="str">
            <v xml:space="preserve">       b.  Patient Days</v>
          </cell>
          <cell r="Z271">
            <v>0</v>
          </cell>
          <cell r="AA271">
            <v>4179</v>
          </cell>
          <cell r="AB271">
            <v>0</v>
          </cell>
          <cell r="AC271">
            <v>826</v>
          </cell>
          <cell r="AD271">
            <v>0</v>
          </cell>
          <cell r="AE271">
            <v>5005</v>
          </cell>
          <cell r="AG271" t="str">
            <v xml:space="preserve">       b.  Patient Days</v>
          </cell>
          <cell r="AH271">
            <v>0</v>
          </cell>
          <cell r="AI271">
            <v>727</v>
          </cell>
          <cell r="AJ271">
            <v>0</v>
          </cell>
          <cell r="AK271">
            <v>221</v>
          </cell>
          <cell r="AL271">
            <v>0</v>
          </cell>
          <cell r="AM271">
            <v>948</v>
          </cell>
          <cell r="AO271" t="str">
            <v xml:space="preserve">       b.  Patient Days</v>
          </cell>
          <cell r="AP271">
            <v>0</v>
          </cell>
          <cell r="AQ271">
            <v>165</v>
          </cell>
          <cell r="AR271">
            <v>0</v>
          </cell>
          <cell r="AS271">
            <v>52</v>
          </cell>
          <cell r="AT271">
            <v>0</v>
          </cell>
          <cell r="AU271">
            <v>217</v>
          </cell>
          <cell r="AW271" t="str">
            <v xml:space="preserve">       b.  Patient Days</v>
          </cell>
          <cell r="AX271">
            <v>0</v>
          </cell>
          <cell r="AY271">
            <v>682</v>
          </cell>
          <cell r="AZ271">
            <v>0</v>
          </cell>
          <cell r="BA271">
            <v>52</v>
          </cell>
          <cell r="BB271">
            <v>0</v>
          </cell>
          <cell r="BC271">
            <v>734</v>
          </cell>
        </row>
        <row r="272">
          <cell r="A272" t="str">
            <v xml:space="preserve">       c.  Discharges</v>
          </cell>
          <cell r="B272">
            <v>0</v>
          </cell>
          <cell r="C272">
            <v>18</v>
          </cell>
          <cell r="D272">
            <v>0</v>
          </cell>
          <cell r="E272">
            <v>2</v>
          </cell>
          <cell r="F272">
            <v>0</v>
          </cell>
          <cell r="G272">
            <v>20</v>
          </cell>
          <cell r="I272" t="str">
            <v xml:space="preserve">       c.  Discharges</v>
          </cell>
          <cell r="J272">
            <v>0</v>
          </cell>
          <cell r="K272">
            <v>26</v>
          </cell>
          <cell r="L272">
            <v>0</v>
          </cell>
          <cell r="M272">
            <v>10</v>
          </cell>
          <cell r="N272">
            <v>0</v>
          </cell>
          <cell r="O272">
            <v>36</v>
          </cell>
          <cell r="Q272" t="str">
            <v xml:space="preserve">       c.  Discharges</v>
          </cell>
          <cell r="R272">
            <v>0</v>
          </cell>
          <cell r="S272">
            <v>13</v>
          </cell>
          <cell r="T272">
            <v>0</v>
          </cell>
          <cell r="U272">
            <v>2</v>
          </cell>
          <cell r="V272">
            <v>0</v>
          </cell>
          <cell r="W272">
            <v>15</v>
          </cell>
          <cell r="Y272" t="str">
            <v xml:space="preserve">       c.  Discharges</v>
          </cell>
          <cell r="Z272">
            <v>0</v>
          </cell>
          <cell r="AA272">
            <v>749</v>
          </cell>
          <cell r="AB272">
            <v>0</v>
          </cell>
          <cell r="AC272">
            <v>136</v>
          </cell>
          <cell r="AD272">
            <v>0</v>
          </cell>
          <cell r="AE272">
            <v>885</v>
          </cell>
          <cell r="AG272" t="str">
            <v xml:space="preserve">       c.  Discharges</v>
          </cell>
          <cell r="AH272">
            <v>0</v>
          </cell>
          <cell r="AI272">
            <v>119</v>
          </cell>
          <cell r="AJ272">
            <v>0</v>
          </cell>
          <cell r="AK272">
            <v>28</v>
          </cell>
          <cell r="AL272">
            <v>0</v>
          </cell>
          <cell r="AM272">
            <v>147</v>
          </cell>
          <cell r="AO272" t="str">
            <v xml:space="preserve">       c.  Discharges</v>
          </cell>
          <cell r="AP272">
            <v>0</v>
          </cell>
          <cell r="AQ272">
            <v>31</v>
          </cell>
          <cell r="AR272">
            <v>0</v>
          </cell>
          <cell r="AS272">
            <v>7</v>
          </cell>
          <cell r="AT272">
            <v>0</v>
          </cell>
          <cell r="AU272">
            <v>38</v>
          </cell>
          <cell r="AW272" t="str">
            <v xml:space="preserve">       c.  Discharges</v>
          </cell>
          <cell r="AX272">
            <v>0</v>
          </cell>
          <cell r="AY272">
            <v>113</v>
          </cell>
          <cell r="AZ272">
            <v>0</v>
          </cell>
          <cell r="BA272">
            <v>13</v>
          </cell>
          <cell r="BB272">
            <v>0</v>
          </cell>
          <cell r="BC272">
            <v>126</v>
          </cell>
        </row>
        <row r="273">
          <cell r="A273" t="str">
            <v xml:space="preserve">       d.  Discharge Days</v>
          </cell>
          <cell r="B273">
            <v>0</v>
          </cell>
          <cell r="C273">
            <v>76</v>
          </cell>
          <cell r="D273">
            <v>0</v>
          </cell>
          <cell r="E273">
            <v>11</v>
          </cell>
          <cell r="F273">
            <v>0</v>
          </cell>
          <cell r="G273">
            <v>87</v>
          </cell>
          <cell r="I273" t="str">
            <v xml:space="preserve">       d.  Discharge Days</v>
          </cell>
          <cell r="J273">
            <v>0</v>
          </cell>
          <cell r="K273">
            <v>131</v>
          </cell>
          <cell r="L273">
            <v>0</v>
          </cell>
          <cell r="M273">
            <v>58</v>
          </cell>
          <cell r="N273">
            <v>0</v>
          </cell>
          <cell r="O273">
            <v>189</v>
          </cell>
          <cell r="Q273" t="str">
            <v xml:space="preserve">       d.  Discharge Days</v>
          </cell>
          <cell r="R273">
            <v>0</v>
          </cell>
          <cell r="S273">
            <v>65</v>
          </cell>
          <cell r="T273">
            <v>0</v>
          </cell>
          <cell r="U273">
            <v>6</v>
          </cell>
          <cell r="V273">
            <v>0</v>
          </cell>
          <cell r="W273">
            <v>71</v>
          </cell>
          <cell r="Y273" t="str">
            <v xml:space="preserve">       d.  Discharge Days</v>
          </cell>
          <cell r="Z273">
            <v>0</v>
          </cell>
          <cell r="AA273">
            <v>3294</v>
          </cell>
          <cell r="AB273">
            <v>0</v>
          </cell>
          <cell r="AC273">
            <v>668</v>
          </cell>
          <cell r="AD273">
            <v>0</v>
          </cell>
          <cell r="AE273">
            <v>3962</v>
          </cell>
          <cell r="AG273" t="str">
            <v xml:space="preserve">       d.  Discharge Days</v>
          </cell>
          <cell r="AH273">
            <v>0</v>
          </cell>
          <cell r="AI273">
            <v>586</v>
          </cell>
          <cell r="AJ273">
            <v>0</v>
          </cell>
          <cell r="AK273">
            <v>142</v>
          </cell>
          <cell r="AL273">
            <v>0</v>
          </cell>
          <cell r="AM273">
            <v>728</v>
          </cell>
          <cell r="AO273" t="str">
            <v xml:space="preserve">       d.  Discharge Days</v>
          </cell>
          <cell r="AP273">
            <v>0</v>
          </cell>
          <cell r="AQ273">
            <v>128</v>
          </cell>
          <cell r="AR273">
            <v>0</v>
          </cell>
          <cell r="AS273">
            <v>33</v>
          </cell>
          <cell r="AT273">
            <v>0</v>
          </cell>
          <cell r="AU273">
            <v>161</v>
          </cell>
          <cell r="AW273" t="str">
            <v xml:space="preserve">       d.  Discharge Days</v>
          </cell>
          <cell r="AX273">
            <v>0</v>
          </cell>
          <cell r="AY273">
            <v>519</v>
          </cell>
          <cell r="AZ273">
            <v>0</v>
          </cell>
          <cell r="BA273">
            <v>48</v>
          </cell>
          <cell r="BB273">
            <v>0</v>
          </cell>
          <cell r="BC273">
            <v>567</v>
          </cell>
        </row>
        <row r="274">
          <cell r="A274" t="str">
            <v xml:space="preserve">       e.  Average Length of Stay</v>
          </cell>
          <cell r="B274">
            <v>0</v>
          </cell>
          <cell r="C274">
            <v>4.2222222222222223</v>
          </cell>
          <cell r="D274">
            <v>0</v>
          </cell>
          <cell r="E274">
            <v>5.5</v>
          </cell>
          <cell r="F274">
            <v>0</v>
          </cell>
          <cell r="G274">
            <v>4.3499999999999996</v>
          </cell>
          <cell r="I274" t="str">
            <v xml:space="preserve">       e.  Average Length of Stay</v>
          </cell>
          <cell r="J274">
            <v>0</v>
          </cell>
          <cell r="K274">
            <v>5.0384615384615383</v>
          </cell>
          <cell r="L274">
            <v>0</v>
          </cell>
          <cell r="M274">
            <v>5.8</v>
          </cell>
          <cell r="N274">
            <v>0</v>
          </cell>
          <cell r="O274">
            <v>5.25</v>
          </cell>
          <cell r="Q274" t="str">
            <v xml:space="preserve">       e.  Average Length of Stay</v>
          </cell>
          <cell r="R274">
            <v>0</v>
          </cell>
          <cell r="S274">
            <v>5</v>
          </cell>
          <cell r="T274">
            <v>0</v>
          </cell>
          <cell r="U274">
            <v>3</v>
          </cell>
          <cell r="V274">
            <v>0</v>
          </cell>
          <cell r="W274">
            <v>4.7333333333333334</v>
          </cell>
          <cell r="Y274" t="str">
            <v xml:space="preserve">       e.  Average Length of Stay</v>
          </cell>
          <cell r="Z274">
            <v>0</v>
          </cell>
          <cell r="AA274">
            <v>4.3978638184245664</v>
          </cell>
          <cell r="AB274">
            <v>0</v>
          </cell>
          <cell r="AC274">
            <v>4.9117647058823533</v>
          </cell>
          <cell r="AD274">
            <v>0</v>
          </cell>
          <cell r="AE274">
            <v>4.4768361581920901</v>
          </cell>
          <cell r="AG274" t="str">
            <v xml:space="preserve">       e.  Average Length of Stay</v>
          </cell>
          <cell r="AH274">
            <v>0</v>
          </cell>
          <cell r="AI274">
            <v>4.9243697478991599</v>
          </cell>
          <cell r="AJ274">
            <v>0</v>
          </cell>
          <cell r="AK274">
            <v>5.0714285714285712</v>
          </cell>
          <cell r="AL274">
            <v>0</v>
          </cell>
          <cell r="AM274">
            <v>4.9523809523809526</v>
          </cell>
          <cell r="AO274" t="str">
            <v xml:space="preserve">       e.  Average Length of Stay</v>
          </cell>
          <cell r="AP274">
            <v>0</v>
          </cell>
          <cell r="AQ274">
            <v>4.129032258064516</v>
          </cell>
          <cell r="AR274">
            <v>0</v>
          </cell>
          <cell r="AS274">
            <v>4.7142857142857144</v>
          </cell>
          <cell r="AT274">
            <v>0</v>
          </cell>
          <cell r="AU274">
            <v>4.2368421052631575</v>
          </cell>
          <cell r="AW274" t="str">
            <v xml:space="preserve">       e.  Average Length of Stay</v>
          </cell>
          <cell r="AX274">
            <v>0</v>
          </cell>
          <cell r="AY274">
            <v>4.5929203539823007</v>
          </cell>
          <cell r="AZ274">
            <v>0</v>
          </cell>
          <cell r="BA274">
            <v>3.6923076923076925</v>
          </cell>
          <cell r="BB274">
            <v>0</v>
          </cell>
          <cell r="BC274">
            <v>4.5</v>
          </cell>
        </row>
        <row r="276">
          <cell r="A276" t="str">
            <v>D.   Emergency Room Visits</v>
          </cell>
          <cell r="B276">
            <v>0</v>
          </cell>
          <cell r="C276">
            <v>8</v>
          </cell>
          <cell r="D276">
            <v>0</v>
          </cell>
          <cell r="E276">
            <v>3</v>
          </cell>
          <cell r="F276">
            <v>0</v>
          </cell>
          <cell r="G276">
            <v>11</v>
          </cell>
          <cell r="I276" t="str">
            <v>D.   Emergency Room Visits</v>
          </cell>
          <cell r="J276">
            <v>0</v>
          </cell>
          <cell r="K276">
            <v>18</v>
          </cell>
          <cell r="L276">
            <v>0</v>
          </cell>
          <cell r="M276">
            <v>10</v>
          </cell>
          <cell r="N276">
            <v>0</v>
          </cell>
          <cell r="O276">
            <v>28</v>
          </cell>
          <cell r="Q276" t="str">
            <v>D.   Emergency Room Visits</v>
          </cell>
          <cell r="R276">
            <v>0</v>
          </cell>
          <cell r="S276">
            <v>9</v>
          </cell>
          <cell r="T276">
            <v>0</v>
          </cell>
          <cell r="U276">
            <v>1</v>
          </cell>
          <cell r="V276">
            <v>0</v>
          </cell>
          <cell r="W276">
            <v>10</v>
          </cell>
          <cell r="Y276" t="str">
            <v>D.   Emergency Room Visits</v>
          </cell>
          <cell r="Z276">
            <v>0</v>
          </cell>
          <cell r="AA276">
            <v>247</v>
          </cell>
          <cell r="AB276">
            <v>0</v>
          </cell>
          <cell r="AC276">
            <v>131</v>
          </cell>
          <cell r="AD276">
            <v>0</v>
          </cell>
          <cell r="AE276">
            <v>378</v>
          </cell>
          <cell r="AG276" t="str">
            <v>D.   Emergency Room Visits</v>
          </cell>
          <cell r="AH276">
            <v>0</v>
          </cell>
          <cell r="AI276">
            <v>102</v>
          </cell>
          <cell r="AJ276">
            <v>0</v>
          </cell>
          <cell r="AK276">
            <v>32</v>
          </cell>
          <cell r="AL276">
            <v>0</v>
          </cell>
          <cell r="AM276">
            <v>134</v>
          </cell>
          <cell r="AO276" t="str">
            <v>D.   Emergency Room Visits</v>
          </cell>
          <cell r="AP276">
            <v>0</v>
          </cell>
          <cell r="AQ276">
            <v>27</v>
          </cell>
          <cell r="AR276">
            <v>0</v>
          </cell>
          <cell r="AS276">
            <v>12</v>
          </cell>
          <cell r="AT276">
            <v>0</v>
          </cell>
          <cell r="AU276">
            <v>39</v>
          </cell>
          <cell r="AW276" t="str">
            <v>D.   Emergency Room Visits</v>
          </cell>
          <cell r="AX276">
            <v>0</v>
          </cell>
          <cell r="AY276">
            <v>43</v>
          </cell>
          <cell r="AZ276">
            <v>0</v>
          </cell>
          <cell r="BA276">
            <v>10</v>
          </cell>
          <cell r="BB276">
            <v>0</v>
          </cell>
          <cell r="BC276">
            <v>53</v>
          </cell>
        </row>
        <row r="280">
          <cell r="A280" t="str">
            <v>Program Contractor Financial Reporting Systems - Report #11A Utilization Data Report by County</v>
          </cell>
          <cell r="I280" t="str">
            <v>Program Contractor Financial Reporting Systems - Report #11A Utilization Data Report by County</v>
          </cell>
          <cell r="Q280" t="str">
            <v>Program Contractor Financial Reporting Systems - Report #11A Utilization Data Report by County</v>
          </cell>
          <cell r="Y280" t="str">
            <v>Program Contractor Financial Reporting Systems - Report #11A Utilization Data Report by County</v>
          </cell>
          <cell r="AG280" t="str">
            <v>Program Contractor Financial Reporting Systems - Report #11A Utilization Data Report by County</v>
          </cell>
          <cell r="AO280" t="str">
            <v>Program Contractor Financial Reporting Systems - Report #11A Utilization Data Report by County</v>
          </cell>
          <cell r="AW280" t="str">
            <v>Program Contractor Financial Reporting Systems - Report #11A Utilization Data Report by County</v>
          </cell>
        </row>
        <row r="282">
          <cell r="A282" t="str">
            <v>Statement for Program Contractor 110049 - Evercare of Arizona, Inc.</v>
          </cell>
          <cell r="F282" t="str">
            <v>County:</v>
          </cell>
          <cell r="G282" t="str">
            <v>Apache</v>
          </cell>
          <cell r="I282" t="str">
            <v>Statement for Program Contractor 110049 - Evercare of Arizona, Inc.</v>
          </cell>
          <cell r="N282" t="str">
            <v>County:</v>
          </cell>
          <cell r="O282" t="str">
            <v>Coconino</v>
          </cell>
          <cell r="Q282" t="str">
            <v>Statement for Program Contractor 110049 - Evercare of Arizona, Inc.</v>
          </cell>
          <cell r="V282" t="str">
            <v>County:</v>
          </cell>
          <cell r="W282" t="str">
            <v>La Paz</v>
          </cell>
          <cell r="Y282" t="str">
            <v>Statement for Program Contractor 110049 - Evercare of Arizona, Inc.</v>
          </cell>
          <cell r="AD282" t="str">
            <v>County:</v>
          </cell>
          <cell r="AE282" t="str">
            <v>Maricopa</v>
          </cell>
          <cell r="AG282" t="str">
            <v>Statement for Program Contractor 110049 - Evercare of Arizona, Inc.</v>
          </cell>
          <cell r="AL282" t="str">
            <v>County:</v>
          </cell>
          <cell r="AM282" t="str">
            <v>Mohave</v>
          </cell>
          <cell r="AO282" t="str">
            <v>Statement for Program Contractor 110049 - Evercare of Arizona, Inc.</v>
          </cell>
          <cell r="AT282" t="str">
            <v>County:</v>
          </cell>
          <cell r="AU282" t="str">
            <v>Navajo</v>
          </cell>
          <cell r="AW282" t="str">
            <v>Statement for Program Contractor 110049 - Evercare of Arizona, Inc.</v>
          </cell>
          <cell r="BB282" t="str">
            <v>County:</v>
          </cell>
          <cell r="BC282" t="str">
            <v>Yuma</v>
          </cell>
        </row>
        <row r="284">
          <cell r="A284" t="str">
            <v>For the Month ending 4/30/2006 in the Fiscal Year ending 9/30/2006</v>
          </cell>
          <cell r="F284" t="str">
            <v>Page 1 of 21</v>
          </cell>
          <cell r="I284" t="str">
            <v>For the Month ending 4/30/2006 in the Fiscal Year ending 9/30/2006</v>
          </cell>
          <cell r="N284" t="str">
            <v>Page 4 of 21</v>
          </cell>
          <cell r="Q284" t="str">
            <v>For the Month ending 4/30/2006 in the Fiscal Year ending 9/30/2006</v>
          </cell>
          <cell r="V284" t="str">
            <v>Page 7 of 21</v>
          </cell>
          <cell r="Y284" t="str">
            <v>For the Month ending 4/30/2006 in the Fiscal Year ending 9/30/2006</v>
          </cell>
          <cell r="AD284" t="str">
            <v>Page 10 of 21</v>
          </cell>
          <cell r="AG284" t="str">
            <v>For the Month ending 4/30/2006 in the Fiscal Year ending 9/30/2006</v>
          </cell>
          <cell r="AL284" t="str">
            <v>Page 13 of 21</v>
          </cell>
          <cell r="AO284" t="str">
            <v>For the Month ending 4/30/2006 in the Fiscal Year ending 9/30/2006</v>
          </cell>
          <cell r="AT284" t="str">
            <v>Page 16 of 21</v>
          </cell>
          <cell r="AW284" t="str">
            <v>For the Month ending 4/30/2006 in the Fiscal Year ending 9/30/2006</v>
          </cell>
          <cell r="BB284" t="str">
            <v>Page 19 of 21</v>
          </cell>
        </row>
        <row r="287">
          <cell r="A287" t="str">
            <v>Utilization Data Report by County</v>
          </cell>
          <cell r="I287" t="str">
            <v>Utilization Data Report by County</v>
          </cell>
          <cell r="Q287" t="str">
            <v>Utilization Data Report by County</v>
          </cell>
          <cell r="Y287" t="str">
            <v>Utilization Data Report by County</v>
          </cell>
          <cell r="AG287" t="str">
            <v>Utilization Data Report by County</v>
          </cell>
          <cell r="AO287" t="str">
            <v>Utilization Data Report by County</v>
          </cell>
          <cell r="AW287" t="str">
            <v>Utilization Data Report by County</v>
          </cell>
        </row>
        <row r="289">
          <cell r="B289" t="str">
            <v>MEDICARE</v>
          </cell>
          <cell r="D289" t="str">
            <v>NON-MEDICARE</v>
          </cell>
          <cell r="F289" t="str">
            <v>TOTAL</v>
          </cell>
          <cell r="J289" t="str">
            <v>MEDICARE</v>
          </cell>
          <cell r="L289" t="str">
            <v>NON-MEDICARE</v>
          </cell>
          <cell r="N289" t="str">
            <v>TOTAL</v>
          </cell>
          <cell r="R289" t="str">
            <v>MEDICARE</v>
          </cell>
          <cell r="T289" t="str">
            <v>NON-MEDICARE</v>
          </cell>
          <cell r="V289" t="str">
            <v>TOTAL</v>
          </cell>
          <cell r="Z289" t="str">
            <v>MEDICARE</v>
          </cell>
          <cell r="AB289" t="str">
            <v>NON-MEDICARE</v>
          </cell>
          <cell r="AD289" t="str">
            <v>TOTAL</v>
          </cell>
          <cell r="AH289" t="str">
            <v>MEDICARE</v>
          </cell>
          <cell r="AJ289" t="str">
            <v>NON-MEDICARE</v>
          </cell>
          <cell r="AL289" t="str">
            <v>TOTAL</v>
          </cell>
          <cell r="AP289" t="str">
            <v>MEDICARE</v>
          </cell>
          <cell r="AR289" t="str">
            <v>NON-MEDICARE</v>
          </cell>
          <cell r="AT289" t="str">
            <v>TOTAL</v>
          </cell>
          <cell r="AX289" t="str">
            <v>MEDICARE</v>
          </cell>
          <cell r="AZ289" t="str">
            <v>NON-MEDICARE</v>
          </cell>
          <cell r="BB289" t="str">
            <v>TOTAL</v>
          </cell>
        </row>
        <row r="290">
          <cell r="A290" t="str">
            <v>ITEM DESCRIPTION</v>
          </cell>
          <cell r="B290" t="str">
            <v>Current</v>
          </cell>
          <cell r="D290" t="str">
            <v>Current</v>
          </cell>
          <cell r="F290" t="str">
            <v>Current</v>
          </cell>
          <cell r="I290" t="str">
            <v>ITEM DESCRIPTION</v>
          </cell>
          <cell r="J290" t="str">
            <v>Current</v>
          </cell>
          <cell r="L290" t="str">
            <v>Current</v>
          </cell>
          <cell r="N290" t="str">
            <v>Current</v>
          </cell>
          <cell r="Q290" t="str">
            <v>ITEM DESCRIPTION</v>
          </cell>
          <cell r="R290" t="str">
            <v>Current</v>
          </cell>
          <cell r="T290" t="str">
            <v>Current</v>
          </cell>
          <cell r="V290" t="str">
            <v>Current</v>
          </cell>
          <cell r="Y290" t="str">
            <v>ITEM DESCRIPTION</v>
          </cell>
          <cell r="Z290" t="str">
            <v>Current</v>
          </cell>
          <cell r="AB290" t="str">
            <v>Current</v>
          </cell>
          <cell r="AD290" t="str">
            <v>Current</v>
          </cell>
          <cell r="AG290" t="str">
            <v>ITEM DESCRIPTION</v>
          </cell>
          <cell r="AH290" t="str">
            <v>Current</v>
          </cell>
          <cell r="AJ290" t="str">
            <v>Current</v>
          </cell>
          <cell r="AL290" t="str">
            <v>Current</v>
          </cell>
          <cell r="AO290" t="str">
            <v>ITEM DESCRIPTION</v>
          </cell>
          <cell r="AP290" t="str">
            <v>Current</v>
          </cell>
          <cell r="AR290" t="str">
            <v>Current</v>
          </cell>
          <cell r="AT290" t="str">
            <v>Current</v>
          </cell>
          <cell r="AW290" t="str">
            <v>ITEM DESCRIPTION</v>
          </cell>
          <cell r="AX290" t="str">
            <v>Current</v>
          </cell>
          <cell r="AZ290" t="str">
            <v>Current</v>
          </cell>
          <cell r="BB290" t="str">
            <v>Current</v>
          </cell>
        </row>
        <row r="291">
          <cell r="B291" t="str">
            <v>Period</v>
          </cell>
          <cell r="C291" t="str">
            <v>YTD</v>
          </cell>
          <cell r="D291" t="str">
            <v>Period</v>
          </cell>
          <cell r="E291" t="str">
            <v>YTD</v>
          </cell>
          <cell r="F291" t="str">
            <v>Period</v>
          </cell>
          <cell r="G291" t="str">
            <v>YTD</v>
          </cell>
          <cell r="J291" t="str">
            <v>Period</v>
          </cell>
          <cell r="K291" t="str">
            <v>YTD</v>
          </cell>
          <cell r="L291" t="str">
            <v>Period</v>
          </cell>
          <cell r="M291" t="str">
            <v>YTD</v>
          </cell>
          <cell r="N291" t="str">
            <v>Period</v>
          </cell>
          <cell r="O291" t="str">
            <v>YTD</v>
          </cell>
          <cell r="R291" t="str">
            <v>Period</v>
          </cell>
          <cell r="S291" t="str">
            <v>YTD</v>
          </cell>
          <cell r="T291" t="str">
            <v>Period</v>
          </cell>
          <cell r="U291" t="str">
            <v>YTD</v>
          </cell>
          <cell r="V291" t="str">
            <v>Period</v>
          </cell>
          <cell r="W291" t="str">
            <v>YTD</v>
          </cell>
          <cell r="Z291" t="str">
            <v>Period</v>
          </cell>
          <cell r="AA291" t="str">
            <v>YTD</v>
          </cell>
          <cell r="AB291" t="str">
            <v>Period</v>
          </cell>
          <cell r="AC291" t="str">
            <v>YTD</v>
          </cell>
          <cell r="AD291" t="str">
            <v>Period</v>
          </cell>
          <cell r="AE291" t="str">
            <v>YTD</v>
          </cell>
          <cell r="AH291" t="str">
            <v>Period</v>
          </cell>
          <cell r="AI291" t="str">
            <v>YTD</v>
          </cell>
          <cell r="AJ291" t="str">
            <v>Period</v>
          </cell>
          <cell r="AK291" t="str">
            <v>YTD</v>
          </cell>
          <cell r="AL291" t="str">
            <v>Period</v>
          </cell>
          <cell r="AM291" t="str">
            <v>YTD</v>
          </cell>
          <cell r="AP291" t="str">
            <v>Period</v>
          </cell>
          <cell r="AQ291" t="str">
            <v>YTD</v>
          </cell>
          <cell r="AR291" t="str">
            <v>Period</v>
          </cell>
          <cell r="AS291" t="str">
            <v>YTD</v>
          </cell>
          <cell r="AT291" t="str">
            <v>Period</v>
          </cell>
          <cell r="AU291" t="str">
            <v>YTD</v>
          </cell>
          <cell r="AX291" t="str">
            <v>Period</v>
          </cell>
          <cell r="AY291" t="str">
            <v>YTD</v>
          </cell>
          <cell r="AZ291" t="str">
            <v>Period</v>
          </cell>
          <cell r="BA291" t="str">
            <v>YTD</v>
          </cell>
          <cell r="BB291" t="str">
            <v>Period</v>
          </cell>
          <cell r="BC291" t="str">
            <v>YTD</v>
          </cell>
        </row>
        <row r="292">
          <cell r="A292" t="str">
            <v>A.   Enrollees (At End of Period)</v>
          </cell>
          <cell r="B292">
            <v>0</v>
          </cell>
          <cell r="D292">
            <v>0</v>
          </cell>
          <cell r="F292">
            <v>0</v>
          </cell>
          <cell r="I292" t="str">
            <v>A.   Enrollees (At End of Period)</v>
          </cell>
          <cell r="J292">
            <v>0</v>
          </cell>
          <cell r="L292">
            <v>0</v>
          </cell>
          <cell r="N292">
            <v>0</v>
          </cell>
          <cell r="Q292" t="str">
            <v>A.   Enrollees (At End of Period)</v>
          </cell>
          <cell r="R292">
            <v>0</v>
          </cell>
          <cell r="T292">
            <v>0</v>
          </cell>
          <cell r="V292">
            <v>0</v>
          </cell>
          <cell r="Y292" t="str">
            <v>A.   Enrollees (At End of Period)</v>
          </cell>
          <cell r="Z292">
            <v>0</v>
          </cell>
          <cell r="AB292">
            <v>0</v>
          </cell>
          <cell r="AD292">
            <v>0</v>
          </cell>
          <cell r="AG292" t="str">
            <v>A.   Enrollees (At End of Period)</v>
          </cell>
          <cell r="AH292">
            <v>0</v>
          </cell>
          <cell r="AJ292">
            <v>0</v>
          </cell>
          <cell r="AL292">
            <v>0</v>
          </cell>
          <cell r="AO292" t="str">
            <v>A.   Enrollees (At End of Period)</v>
          </cell>
          <cell r="AP292">
            <v>0</v>
          </cell>
          <cell r="AR292">
            <v>0</v>
          </cell>
          <cell r="AT292">
            <v>0</v>
          </cell>
          <cell r="AW292" t="str">
            <v>A.   Enrollees (At End of Period)</v>
          </cell>
          <cell r="AX292">
            <v>0</v>
          </cell>
          <cell r="AZ292">
            <v>0</v>
          </cell>
          <cell r="BB292">
            <v>0</v>
          </cell>
        </row>
        <row r="294">
          <cell r="A294" t="str">
            <v>B.   Member Months (Unduplicated)</v>
          </cell>
          <cell r="B294">
            <v>0</v>
          </cell>
          <cell r="C294">
            <v>190.88669999999996</v>
          </cell>
          <cell r="D294">
            <v>0</v>
          </cell>
          <cell r="E294">
            <v>54.75</v>
          </cell>
          <cell r="F294">
            <v>0</v>
          </cell>
          <cell r="G294">
            <v>245.63669999999996</v>
          </cell>
          <cell r="I294" t="str">
            <v>B.   Member Months (Unduplicated)</v>
          </cell>
          <cell r="J294">
            <v>0</v>
          </cell>
          <cell r="K294">
            <v>513.7274000000001</v>
          </cell>
          <cell r="L294">
            <v>0</v>
          </cell>
          <cell r="M294">
            <v>110.61330000000001</v>
          </cell>
          <cell r="N294">
            <v>0</v>
          </cell>
          <cell r="O294">
            <v>624.34070000000008</v>
          </cell>
          <cell r="Q294" t="str">
            <v>B.   Member Months (Unduplicated)</v>
          </cell>
          <cell r="R294">
            <v>0</v>
          </cell>
          <cell r="S294">
            <v>222.08120000000002</v>
          </cell>
          <cell r="T294">
            <v>0</v>
          </cell>
          <cell r="U294">
            <v>17.07</v>
          </cell>
          <cell r="V294">
            <v>0</v>
          </cell>
          <cell r="W294">
            <v>239.15120000000002</v>
          </cell>
          <cell r="Y294" t="str">
            <v>B.   Member Months (Unduplicated)</v>
          </cell>
          <cell r="Z294">
            <v>0</v>
          </cell>
          <cell r="AA294">
            <v>13367.081800000002</v>
          </cell>
          <cell r="AB294">
            <v>0</v>
          </cell>
          <cell r="AC294">
            <v>1964.4491000000003</v>
          </cell>
          <cell r="AD294">
            <v>0</v>
          </cell>
          <cell r="AE294">
            <v>15331.530900000002</v>
          </cell>
          <cell r="AG294" t="str">
            <v>B.   Member Months (Unduplicated)</v>
          </cell>
          <cell r="AH294">
            <v>0</v>
          </cell>
          <cell r="AI294">
            <v>2465.0030999999999</v>
          </cell>
          <cell r="AJ294">
            <v>0</v>
          </cell>
          <cell r="AK294">
            <v>338.37329999999997</v>
          </cell>
          <cell r="AL294">
            <v>0</v>
          </cell>
          <cell r="AM294">
            <v>2803.3764000000001</v>
          </cell>
          <cell r="AO294" t="str">
            <v>B.   Member Months (Unduplicated)</v>
          </cell>
          <cell r="AP294">
            <v>0</v>
          </cell>
          <cell r="AQ294">
            <v>588.85000000000014</v>
          </cell>
          <cell r="AR294">
            <v>0</v>
          </cell>
          <cell r="AS294">
            <v>145.74229999999997</v>
          </cell>
          <cell r="AT294">
            <v>0</v>
          </cell>
          <cell r="AU294">
            <v>734.59230000000014</v>
          </cell>
          <cell r="AW294" t="str">
            <v>B.   Member Months (Unduplicated)</v>
          </cell>
          <cell r="AX294">
            <v>0</v>
          </cell>
          <cell r="AY294">
            <v>1674.2218</v>
          </cell>
          <cell r="AZ294">
            <v>0</v>
          </cell>
          <cell r="BA294">
            <v>331.96999999999997</v>
          </cell>
          <cell r="BB294">
            <v>0</v>
          </cell>
          <cell r="BC294">
            <v>2006.1918000000001</v>
          </cell>
        </row>
        <row r="295">
          <cell r="A295" t="str">
            <v xml:space="preserve">   Institutional Member Months Total</v>
          </cell>
          <cell r="B295">
            <v>0</v>
          </cell>
          <cell r="C295">
            <v>15.7</v>
          </cell>
          <cell r="D295">
            <v>0</v>
          </cell>
          <cell r="E295">
            <v>11.14</v>
          </cell>
          <cell r="F295">
            <v>0</v>
          </cell>
          <cell r="G295">
            <v>26.84</v>
          </cell>
          <cell r="I295" t="str">
            <v xml:space="preserve">   Institutional Member Months Total</v>
          </cell>
          <cell r="J295">
            <v>0</v>
          </cell>
          <cell r="K295">
            <v>190.48</v>
          </cell>
          <cell r="L295">
            <v>0</v>
          </cell>
          <cell r="M295">
            <v>12.73</v>
          </cell>
          <cell r="N295">
            <v>0</v>
          </cell>
          <cell r="O295">
            <v>203.20999999999998</v>
          </cell>
          <cell r="Q295" t="str">
            <v xml:space="preserve">   Institutional Member Months Total</v>
          </cell>
          <cell r="R295">
            <v>0</v>
          </cell>
          <cell r="S295">
            <v>122.66999999999999</v>
          </cell>
          <cell r="T295">
            <v>0</v>
          </cell>
          <cell r="U295">
            <v>3</v>
          </cell>
          <cell r="V295">
            <v>0</v>
          </cell>
          <cell r="W295">
            <v>125.66999999999999</v>
          </cell>
          <cell r="Y295" t="str">
            <v xml:space="preserve">   Institutional Member Months Total</v>
          </cell>
          <cell r="Z295">
            <v>0</v>
          </cell>
          <cell r="AA295">
            <v>5378.2800000000007</v>
          </cell>
          <cell r="AB295">
            <v>0</v>
          </cell>
          <cell r="AC295">
            <v>460.42000000000007</v>
          </cell>
          <cell r="AD295">
            <v>0</v>
          </cell>
          <cell r="AE295">
            <v>5838.7000000000007</v>
          </cell>
          <cell r="AG295" t="str">
            <v xml:space="preserve">   Institutional Member Months Total</v>
          </cell>
          <cell r="AH295">
            <v>0</v>
          </cell>
          <cell r="AI295">
            <v>1342.8</v>
          </cell>
          <cell r="AJ295">
            <v>0</v>
          </cell>
          <cell r="AK295">
            <v>92.289999999999992</v>
          </cell>
          <cell r="AL295">
            <v>0</v>
          </cell>
          <cell r="AM295">
            <v>1435.09</v>
          </cell>
          <cell r="AO295" t="str">
            <v xml:space="preserve">   Institutional Member Months Total</v>
          </cell>
          <cell r="AP295">
            <v>0</v>
          </cell>
          <cell r="AQ295">
            <v>111.26</v>
          </cell>
          <cell r="AR295">
            <v>0</v>
          </cell>
          <cell r="AS295">
            <v>25.259999999999998</v>
          </cell>
          <cell r="AT295">
            <v>0</v>
          </cell>
          <cell r="AU295">
            <v>136.52000000000001</v>
          </cell>
          <cell r="AW295" t="str">
            <v xml:space="preserve">   Institutional Member Months Total</v>
          </cell>
          <cell r="AX295">
            <v>0</v>
          </cell>
          <cell r="AY295">
            <v>878.52</v>
          </cell>
          <cell r="AZ295">
            <v>0</v>
          </cell>
          <cell r="BA295">
            <v>113.56</v>
          </cell>
          <cell r="BB295">
            <v>0</v>
          </cell>
          <cell r="BC295">
            <v>992.07999999999993</v>
          </cell>
        </row>
        <row r="296">
          <cell r="A296" t="str">
            <v xml:space="preserve">   1.  Level I</v>
          </cell>
          <cell r="B296">
            <v>0</v>
          </cell>
          <cell r="C296">
            <v>6.81</v>
          </cell>
          <cell r="D296">
            <v>0</v>
          </cell>
          <cell r="E296">
            <v>8.14</v>
          </cell>
          <cell r="F296">
            <v>0</v>
          </cell>
          <cell r="G296">
            <v>14.95</v>
          </cell>
          <cell r="I296" t="str">
            <v xml:space="preserve">   1.  Level I</v>
          </cell>
          <cell r="J296">
            <v>0</v>
          </cell>
          <cell r="K296">
            <v>86.49</v>
          </cell>
          <cell r="L296">
            <v>0</v>
          </cell>
          <cell r="M296">
            <v>8.23</v>
          </cell>
          <cell r="N296">
            <v>0</v>
          </cell>
          <cell r="O296">
            <v>94.72</v>
          </cell>
          <cell r="Q296" t="str">
            <v xml:space="preserve">   1.  Level I</v>
          </cell>
          <cell r="R296">
            <v>0</v>
          </cell>
          <cell r="S296">
            <v>78.349999999999994</v>
          </cell>
          <cell r="T296">
            <v>0</v>
          </cell>
          <cell r="U296">
            <v>0</v>
          </cell>
          <cell r="V296">
            <v>0</v>
          </cell>
          <cell r="W296">
            <v>78.349999999999994</v>
          </cell>
          <cell r="Y296" t="str">
            <v xml:space="preserve">   1.  Level I</v>
          </cell>
          <cell r="Z296">
            <v>0</v>
          </cell>
          <cell r="AA296">
            <v>3650.05</v>
          </cell>
          <cell r="AB296">
            <v>0</v>
          </cell>
          <cell r="AC296">
            <v>288.17</v>
          </cell>
          <cell r="AD296">
            <v>0</v>
          </cell>
          <cell r="AE296">
            <v>3938.2200000000003</v>
          </cell>
          <cell r="AG296" t="str">
            <v xml:space="preserve">   1.  Level I</v>
          </cell>
          <cell r="AH296">
            <v>0</v>
          </cell>
          <cell r="AI296">
            <v>607.04999999999995</v>
          </cell>
          <cell r="AJ296">
            <v>0</v>
          </cell>
          <cell r="AK296">
            <v>46.1</v>
          </cell>
          <cell r="AL296">
            <v>0</v>
          </cell>
          <cell r="AM296">
            <v>653.15</v>
          </cell>
          <cell r="AO296" t="str">
            <v xml:space="preserve">   1.  Level I</v>
          </cell>
          <cell r="AP296">
            <v>0</v>
          </cell>
          <cell r="AQ296">
            <v>64.41</v>
          </cell>
          <cell r="AR296">
            <v>0</v>
          </cell>
          <cell r="AS296">
            <v>22.259999999999998</v>
          </cell>
          <cell r="AT296">
            <v>0</v>
          </cell>
          <cell r="AU296">
            <v>86.669999999999987</v>
          </cell>
          <cell r="AW296" t="str">
            <v xml:space="preserve">   1.  Level I</v>
          </cell>
          <cell r="AX296">
            <v>0</v>
          </cell>
          <cell r="AY296">
            <v>471.98</v>
          </cell>
          <cell r="AZ296">
            <v>0</v>
          </cell>
          <cell r="BA296">
            <v>69.94</v>
          </cell>
          <cell r="BB296">
            <v>0</v>
          </cell>
          <cell r="BC296">
            <v>541.92000000000007</v>
          </cell>
        </row>
        <row r="297">
          <cell r="A297" t="str">
            <v xml:space="preserve">   2.  Level II</v>
          </cell>
          <cell r="B297">
            <v>0</v>
          </cell>
          <cell r="C297">
            <v>6.73</v>
          </cell>
          <cell r="D297">
            <v>0</v>
          </cell>
          <cell r="E297">
            <v>3</v>
          </cell>
          <cell r="F297">
            <v>0</v>
          </cell>
          <cell r="G297">
            <v>9.73</v>
          </cell>
          <cell r="I297" t="str">
            <v xml:space="preserve">   2.  Level II</v>
          </cell>
          <cell r="J297">
            <v>0</v>
          </cell>
          <cell r="K297">
            <v>87.8</v>
          </cell>
          <cell r="L297">
            <v>0</v>
          </cell>
          <cell r="M297">
            <v>3</v>
          </cell>
          <cell r="N297">
            <v>0</v>
          </cell>
          <cell r="O297">
            <v>90.8</v>
          </cell>
          <cell r="Q297" t="str">
            <v xml:space="preserve">   2.  Level II</v>
          </cell>
          <cell r="R297">
            <v>0</v>
          </cell>
          <cell r="S297">
            <v>37.57</v>
          </cell>
          <cell r="T297">
            <v>0</v>
          </cell>
          <cell r="U297">
            <v>3</v>
          </cell>
          <cell r="V297">
            <v>0</v>
          </cell>
          <cell r="W297">
            <v>40.57</v>
          </cell>
          <cell r="Y297" t="str">
            <v xml:space="preserve">   2.  Level II</v>
          </cell>
          <cell r="Z297">
            <v>0</v>
          </cell>
          <cell r="AA297">
            <v>1526.49</v>
          </cell>
          <cell r="AB297">
            <v>0</v>
          </cell>
          <cell r="AC297">
            <v>127.19</v>
          </cell>
          <cell r="AD297">
            <v>0</v>
          </cell>
          <cell r="AE297">
            <v>1653.68</v>
          </cell>
          <cell r="AG297" t="str">
            <v xml:space="preserve">   2.  Level II</v>
          </cell>
          <cell r="AH297">
            <v>0</v>
          </cell>
          <cell r="AI297">
            <v>602.55999999999995</v>
          </cell>
          <cell r="AJ297">
            <v>0</v>
          </cell>
          <cell r="AK297">
            <v>28.279999999999998</v>
          </cell>
          <cell r="AL297">
            <v>0</v>
          </cell>
          <cell r="AM297">
            <v>630.83999999999992</v>
          </cell>
          <cell r="AO297" t="str">
            <v xml:space="preserve">   2.  Level II</v>
          </cell>
          <cell r="AP297">
            <v>0</v>
          </cell>
          <cell r="AQ297">
            <v>39.450000000000003</v>
          </cell>
          <cell r="AR297">
            <v>0</v>
          </cell>
          <cell r="AS297">
            <v>3</v>
          </cell>
          <cell r="AT297">
            <v>0</v>
          </cell>
          <cell r="AU297">
            <v>42.45</v>
          </cell>
          <cell r="AW297" t="str">
            <v xml:space="preserve">   2.  Level II</v>
          </cell>
          <cell r="AX297">
            <v>0</v>
          </cell>
          <cell r="AY297">
            <v>357.26</v>
          </cell>
          <cell r="AZ297">
            <v>0</v>
          </cell>
          <cell r="BA297">
            <v>27.619999999999997</v>
          </cell>
          <cell r="BB297">
            <v>0</v>
          </cell>
          <cell r="BC297">
            <v>384.88</v>
          </cell>
        </row>
        <row r="298">
          <cell r="A298" t="str">
            <v xml:space="preserve">   3.  Level III</v>
          </cell>
          <cell r="B298">
            <v>0</v>
          </cell>
          <cell r="C298">
            <v>2.16</v>
          </cell>
          <cell r="D298">
            <v>0</v>
          </cell>
          <cell r="E298">
            <v>0</v>
          </cell>
          <cell r="F298">
            <v>0</v>
          </cell>
          <cell r="G298">
            <v>2.16</v>
          </cell>
          <cell r="I298" t="str">
            <v xml:space="preserve">   3.  Level III</v>
          </cell>
          <cell r="J298">
            <v>0</v>
          </cell>
          <cell r="K298">
            <v>16.190000000000001</v>
          </cell>
          <cell r="L298">
            <v>0</v>
          </cell>
          <cell r="M298">
            <v>1.5</v>
          </cell>
          <cell r="N298">
            <v>0</v>
          </cell>
          <cell r="O298">
            <v>17.690000000000001</v>
          </cell>
          <cell r="Q298" t="str">
            <v xml:space="preserve">   3.  Level III</v>
          </cell>
          <cell r="R298">
            <v>0</v>
          </cell>
          <cell r="S298">
            <v>6.75</v>
          </cell>
          <cell r="T298">
            <v>0</v>
          </cell>
          <cell r="U298">
            <v>0</v>
          </cell>
          <cell r="V298">
            <v>0</v>
          </cell>
          <cell r="W298">
            <v>6.75</v>
          </cell>
          <cell r="Y298" t="str">
            <v xml:space="preserve">   3.  Level III</v>
          </cell>
          <cell r="Z298">
            <v>0</v>
          </cell>
          <cell r="AA298">
            <v>200.77</v>
          </cell>
          <cell r="AB298">
            <v>0</v>
          </cell>
          <cell r="AC298">
            <v>31.090000000000003</v>
          </cell>
          <cell r="AD298">
            <v>0</v>
          </cell>
          <cell r="AE298">
            <v>231.86</v>
          </cell>
          <cell r="AG298" t="str">
            <v xml:space="preserve">   3.  Level III</v>
          </cell>
          <cell r="AH298">
            <v>0</v>
          </cell>
          <cell r="AI298">
            <v>133.19</v>
          </cell>
          <cell r="AJ298">
            <v>0</v>
          </cell>
          <cell r="AK298">
            <v>17.91</v>
          </cell>
          <cell r="AL298">
            <v>0</v>
          </cell>
          <cell r="AM298">
            <v>151.1</v>
          </cell>
          <cell r="AO298" t="str">
            <v xml:space="preserve">   3.  Level III</v>
          </cell>
          <cell r="AP298">
            <v>0</v>
          </cell>
          <cell r="AQ298">
            <v>0.4</v>
          </cell>
          <cell r="AR298">
            <v>0</v>
          </cell>
          <cell r="AS298">
            <v>0</v>
          </cell>
          <cell r="AT298">
            <v>0</v>
          </cell>
          <cell r="AU298">
            <v>0.4</v>
          </cell>
          <cell r="AW298" t="str">
            <v xml:space="preserve">   3.  Level III</v>
          </cell>
          <cell r="AX298">
            <v>0</v>
          </cell>
          <cell r="AY298">
            <v>49.28</v>
          </cell>
          <cell r="AZ298">
            <v>0</v>
          </cell>
          <cell r="BA298">
            <v>16</v>
          </cell>
          <cell r="BB298">
            <v>0</v>
          </cell>
          <cell r="BC298">
            <v>65.28</v>
          </cell>
        </row>
        <row r="299">
          <cell r="A299" t="str">
            <v xml:space="preserve">   4.  Level IV</v>
          </cell>
          <cell r="B299">
            <v>0</v>
          </cell>
          <cell r="C299">
            <v>0</v>
          </cell>
          <cell r="D299">
            <v>0</v>
          </cell>
          <cell r="E299">
            <v>0</v>
          </cell>
          <cell r="F299">
            <v>0</v>
          </cell>
          <cell r="G299">
            <v>0</v>
          </cell>
          <cell r="I299" t="str">
            <v xml:space="preserve">   4.  Level IV</v>
          </cell>
          <cell r="J299">
            <v>0</v>
          </cell>
          <cell r="K299">
            <v>0</v>
          </cell>
          <cell r="L299">
            <v>0</v>
          </cell>
          <cell r="M299">
            <v>0</v>
          </cell>
          <cell r="N299">
            <v>0</v>
          </cell>
          <cell r="O299">
            <v>0</v>
          </cell>
          <cell r="Q299" t="str">
            <v xml:space="preserve">   4.  Level IV</v>
          </cell>
          <cell r="R299">
            <v>0</v>
          </cell>
          <cell r="S299">
            <v>0</v>
          </cell>
          <cell r="T299">
            <v>0</v>
          </cell>
          <cell r="U299">
            <v>0</v>
          </cell>
          <cell r="V299">
            <v>0</v>
          </cell>
          <cell r="W299">
            <v>0</v>
          </cell>
          <cell r="Y299" t="str">
            <v xml:space="preserve">   4.  Level IV</v>
          </cell>
          <cell r="Z299">
            <v>0</v>
          </cell>
          <cell r="AA299">
            <v>0.97</v>
          </cell>
          <cell r="AB299">
            <v>0</v>
          </cell>
          <cell r="AC299">
            <v>13.969999999999999</v>
          </cell>
          <cell r="AD299">
            <v>0</v>
          </cell>
          <cell r="AE299">
            <v>14.94</v>
          </cell>
          <cell r="AG299" t="str">
            <v xml:space="preserve">   4.  Level IV</v>
          </cell>
          <cell r="AH299">
            <v>0</v>
          </cell>
          <cell r="AI299">
            <v>0</v>
          </cell>
          <cell r="AJ299">
            <v>0</v>
          </cell>
          <cell r="AK299">
            <v>0</v>
          </cell>
          <cell r="AL299">
            <v>0</v>
          </cell>
          <cell r="AM299">
            <v>0</v>
          </cell>
          <cell r="AO299" t="str">
            <v xml:space="preserve">   4.  Level IV</v>
          </cell>
          <cell r="AP299">
            <v>0</v>
          </cell>
          <cell r="AQ299">
            <v>7</v>
          </cell>
          <cell r="AR299">
            <v>0</v>
          </cell>
          <cell r="AS299">
            <v>0</v>
          </cell>
          <cell r="AT299">
            <v>0</v>
          </cell>
          <cell r="AU299">
            <v>7</v>
          </cell>
          <cell r="AW299" t="str">
            <v xml:space="preserve">   4.  Level IV</v>
          </cell>
          <cell r="AX299">
            <v>0</v>
          </cell>
          <cell r="AY299">
            <v>0</v>
          </cell>
          <cell r="AZ299">
            <v>0</v>
          </cell>
          <cell r="BA299">
            <v>0</v>
          </cell>
          <cell r="BB299">
            <v>0</v>
          </cell>
          <cell r="BC299">
            <v>0</v>
          </cell>
        </row>
        <row r="300">
          <cell r="A300" t="str">
            <v xml:space="preserve">   5.</v>
          </cell>
          <cell r="I300" t="str">
            <v xml:space="preserve">   5.</v>
          </cell>
          <cell r="Q300" t="str">
            <v xml:space="preserve">   5.</v>
          </cell>
          <cell r="Y300" t="str">
            <v xml:space="preserve">   5.</v>
          </cell>
          <cell r="AG300" t="str">
            <v xml:space="preserve">   5.</v>
          </cell>
          <cell r="AO300" t="str">
            <v xml:space="preserve">   5.</v>
          </cell>
          <cell r="AW300" t="str">
            <v xml:space="preserve">   5.</v>
          </cell>
        </row>
        <row r="301">
          <cell r="A301" t="str">
            <v xml:space="preserve">   6.</v>
          </cell>
          <cell r="I301" t="str">
            <v xml:space="preserve">   6.</v>
          </cell>
          <cell r="Q301" t="str">
            <v xml:space="preserve">   6.</v>
          </cell>
          <cell r="Y301" t="str">
            <v xml:space="preserve">   6.</v>
          </cell>
          <cell r="AG301" t="str">
            <v xml:space="preserve">   6.</v>
          </cell>
          <cell r="AO301" t="str">
            <v xml:space="preserve">   6.</v>
          </cell>
          <cell r="AW301" t="str">
            <v xml:space="preserve">   6.</v>
          </cell>
        </row>
        <row r="302">
          <cell r="A302" t="str">
            <v xml:space="preserve">   7.  Home and Community Based Services (HCBS) Total</v>
          </cell>
          <cell r="B302">
            <v>0</v>
          </cell>
          <cell r="C302">
            <v>193.30999999999997</v>
          </cell>
          <cell r="D302">
            <v>0</v>
          </cell>
          <cell r="E302">
            <v>50.61</v>
          </cell>
          <cell r="F302">
            <v>0</v>
          </cell>
          <cell r="G302">
            <v>243.91999999999996</v>
          </cell>
          <cell r="I302" t="str">
            <v xml:space="preserve">   7.  Home and Community Based Services (HCBS) Total</v>
          </cell>
          <cell r="J302">
            <v>0</v>
          </cell>
          <cell r="K302">
            <v>338.48</v>
          </cell>
          <cell r="L302">
            <v>0</v>
          </cell>
          <cell r="M302">
            <v>88.35</v>
          </cell>
          <cell r="N302">
            <v>0</v>
          </cell>
          <cell r="O302">
            <v>426.83000000000004</v>
          </cell>
          <cell r="Q302" t="str">
            <v xml:space="preserve">   7.  Home and Community Based Services (HCBS) Total</v>
          </cell>
          <cell r="R302">
            <v>0</v>
          </cell>
          <cell r="S302">
            <v>95.550000000000011</v>
          </cell>
          <cell r="T302">
            <v>0</v>
          </cell>
          <cell r="U302">
            <v>14.07</v>
          </cell>
          <cell r="V302">
            <v>0</v>
          </cell>
          <cell r="W302">
            <v>109.62</v>
          </cell>
          <cell r="Y302" t="str">
            <v xml:space="preserve">   7.  Home and Community Based Services (HCBS) Total</v>
          </cell>
          <cell r="Z302">
            <v>0</v>
          </cell>
          <cell r="AA302">
            <v>8554.57</v>
          </cell>
          <cell r="AB302">
            <v>0</v>
          </cell>
          <cell r="AC302">
            <v>1510.57</v>
          </cell>
          <cell r="AD302">
            <v>0</v>
          </cell>
          <cell r="AE302">
            <v>10065.14</v>
          </cell>
          <cell r="AG302" t="str">
            <v xml:space="preserve">   7.  Home and Community Based Services (HCBS) Total</v>
          </cell>
          <cell r="AH302">
            <v>0</v>
          </cell>
          <cell r="AI302">
            <v>1325.78</v>
          </cell>
          <cell r="AJ302">
            <v>0</v>
          </cell>
          <cell r="AK302">
            <v>251.34</v>
          </cell>
          <cell r="AL302">
            <v>0</v>
          </cell>
          <cell r="AM302">
            <v>1577.12</v>
          </cell>
          <cell r="AO302" t="str">
            <v xml:space="preserve">   7.  Home and Community Based Services (HCBS) Total</v>
          </cell>
          <cell r="AP302">
            <v>0</v>
          </cell>
          <cell r="AQ302">
            <v>479.69000000000005</v>
          </cell>
          <cell r="AR302">
            <v>0</v>
          </cell>
          <cell r="AS302">
            <v>135.70999999999998</v>
          </cell>
          <cell r="AT302">
            <v>0</v>
          </cell>
          <cell r="AU302">
            <v>615.40000000000009</v>
          </cell>
          <cell r="AW302" t="str">
            <v xml:space="preserve">   7.  Home and Community Based Services (HCBS) Total</v>
          </cell>
          <cell r="AX302">
            <v>0</v>
          </cell>
          <cell r="AY302">
            <v>1021.8000000000001</v>
          </cell>
          <cell r="AZ302">
            <v>0</v>
          </cell>
          <cell r="BA302">
            <v>258.95</v>
          </cell>
          <cell r="BB302">
            <v>0</v>
          </cell>
          <cell r="BC302">
            <v>1280.75</v>
          </cell>
        </row>
        <row r="303">
          <cell r="A303" t="str">
            <v xml:space="preserve">       a.  Adult Foster Care</v>
          </cell>
          <cell r="B303">
            <v>0</v>
          </cell>
          <cell r="C303">
            <v>0</v>
          </cell>
          <cell r="D303">
            <v>0</v>
          </cell>
          <cell r="E303">
            <v>0</v>
          </cell>
          <cell r="F303">
            <v>0</v>
          </cell>
          <cell r="G303">
            <v>0</v>
          </cell>
          <cell r="I303" t="str">
            <v xml:space="preserve">       a.  Adult Foster Care</v>
          </cell>
          <cell r="J303">
            <v>0</v>
          </cell>
          <cell r="K303">
            <v>0</v>
          </cell>
          <cell r="L303">
            <v>0</v>
          </cell>
          <cell r="M303">
            <v>1.17</v>
          </cell>
          <cell r="N303">
            <v>0</v>
          </cell>
          <cell r="O303">
            <v>1.17</v>
          </cell>
          <cell r="Q303" t="str">
            <v xml:space="preserve">       a.  Adult Foster Care</v>
          </cell>
          <cell r="R303">
            <v>0</v>
          </cell>
          <cell r="S303">
            <v>0</v>
          </cell>
          <cell r="T303">
            <v>0</v>
          </cell>
          <cell r="U303">
            <v>0</v>
          </cell>
          <cell r="V303">
            <v>0</v>
          </cell>
          <cell r="W303">
            <v>0</v>
          </cell>
          <cell r="Y303" t="str">
            <v xml:space="preserve">       a.  Adult Foster Care</v>
          </cell>
          <cell r="Z303">
            <v>0</v>
          </cell>
          <cell r="AA303">
            <v>161.51</v>
          </cell>
          <cell r="AB303">
            <v>0</v>
          </cell>
          <cell r="AC303">
            <v>26.04</v>
          </cell>
          <cell r="AD303">
            <v>0</v>
          </cell>
          <cell r="AE303">
            <v>187.54999999999998</v>
          </cell>
          <cell r="AG303" t="str">
            <v xml:space="preserve">       a.  Adult Foster Care</v>
          </cell>
          <cell r="AH303">
            <v>0</v>
          </cell>
          <cell r="AI303">
            <v>12.9</v>
          </cell>
          <cell r="AJ303">
            <v>0</v>
          </cell>
          <cell r="AK303">
            <v>5.73</v>
          </cell>
          <cell r="AL303">
            <v>0</v>
          </cell>
          <cell r="AM303">
            <v>18.630000000000003</v>
          </cell>
          <cell r="AO303" t="str">
            <v xml:space="preserve">       a.  Adult Foster Care</v>
          </cell>
          <cell r="AP303">
            <v>0</v>
          </cell>
          <cell r="AQ303">
            <v>0</v>
          </cell>
          <cell r="AR303">
            <v>0</v>
          </cell>
          <cell r="AS303">
            <v>0</v>
          </cell>
          <cell r="AT303">
            <v>0</v>
          </cell>
          <cell r="AU303">
            <v>0</v>
          </cell>
          <cell r="AW303" t="str">
            <v xml:space="preserve">       a.  Adult Foster Care</v>
          </cell>
          <cell r="AX303">
            <v>0</v>
          </cell>
          <cell r="AY303">
            <v>4</v>
          </cell>
          <cell r="AZ303">
            <v>0</v>
          </cell>
          <cell r="BA303">
            <v>0</v>
          </cell>
          <cell r="BB303">
            <v>0</v>
          </cell>
          <cell r="BC303">
            <v>4</v>
          </cell>
        </row>
        <row r="304">
          <cell r="A304" t="str">
            <v xml:space="preserve">       b.  Assisted Living Home (Adult Care Home)</v>
          </cell>
          <cell r="B304">
            <v>0</v>
          </cell>
          <cell r="C304">
            <v>44.36</v>
          </cell>
          <cell r="D304">
            <v>0</v>
          </cell>
          <cell r="E304">
            <v>1.66</v>
          </cell>
          <cell r="F304">
            <v>0</v>
          </cell>
          <cell r="G304">
            <v>46.019999999999996</v>
          </cell>
          <cell r="I304" t="str">
            <v xml:space="preserve">       b.  Assisted Living Home (Adult Care Home)</v>
          </cell>
          <cell r="J304">
            <v>0</v>
          </cell>
          <cell r="K304">
            <v>19.060000000000002</v>
          </cell>
          <cell r="L304">
            <v>0</v>
          </cell>
          <cell r="M304">
            <v>4.7</v>
          </cell>
          <cell r="N304">
            <v>0</v>
          </cell>
          <cell r="O304">
            <v>23.76</v>
          </cell>
          <cell r="Q304" t="str">
            <v xml:space="preserve">       b.  Assisted Living Home (Adult Care Home)</v>
          </cell>
          <cell r="R304">
            <v>0</v>
          </cell>
          <cell r="S304">
            <v>0</v>
          </cell>
          <cell r="T304">
            <v>0</v>
          </cell>
          <cell r="U304">
            <v>0</v>
          </cell>
          <cell r="V304">
            <v>0</v>
          </cell>
          <cell r="W304">
            <v>0</v>
          </cell>
          <cell r="Y304" t="str">
            <v xml:space="preserve">       b.  Assisted Living Home (Adult Care Home)</v>
          </cell>
          <cell r="Z304">
            <v>0</v>
          </cell>
          <cell r="AA304">
            <v>1894.61</v>
          </cell>
          <cell r="AB304">
            <v>0</v>
          </cell>
          <cell r="AC304">
            <v>120.88</v>
          </cell>
          <cell r="AD304">
            <v>0</v>
          </cell>
          <cell r="AE304">
            <v>2015.4899999999998</v>
          </cell>
          <cell r="AG304" t="str">
            <v xml:space="preserve">       b.  Assisted Living Home (Adult Care Home)</v>
          </cell>
          <cell r="AH304">
            <v>0</v>
          </cell>
          <cell r="AI304">
            <v>30.16</v>
          </cell>
          <cell r="AJ304">
            <v>0</v>
          </cell>
          <cell r="AK304">
            <v>10.3</v>
          </cell>
          <cell r="AL304">
            <v>0</v>
          </cell>
          <cell r="AM304">
            <v>40.46</v>
          </cell>
          <cell r="AO304" t="str">
            <v xml:space="preserve">       b.  Assisted Living Home (Adult Care Home)</v>
          </cell>
          <cell r="AP304">
            <v>0</v>
          </cell>
          <cell r="AQ304">
            <v>84.77</v>
          </cell>
          <cell r="AR304">
            <v>0</v>
          </cell>
          <cell r="AS304">
            <v>12</v>
          </cell>
          <cell r="AT304">
            <v>0</v>
          </cell>
          <cell r="AU304">
            <v>96.77</v>
          </cell>
          <cell r="AW304" t="str">
            <v xml:space="preserve">       b.  Assisted Living Home (Adult Care Home)</v>
          </cell>
          <cell r="AX304">
            <v>0</v>
          </cell>
          <cell r="AY304">
            <v>114.64999999999999</v>
          </cell>
          <cell r="AZ304">
            <v>0</v>
          </cell>
          <cell r="BA304">
            <v>10.27</v>
          </cell>
          <cell r="BB304">
            <v>0</v>
          </cell>
          <cell r="BC304">
            <v>124.91999999999999</v>
          </cell>
        </row>
        <row r="305">
          <cell r="A305" t="str">
            <v xml:space="preserve">       c.  Group Home (DD)</v>
          </cell>
          <cell r="B305">
            <v>0</v>
          </cell>
          <cell r="C305">
            <v>0</v>
          </cell>
          <cell r="D305">
            <v>0</v>
          </cell>
          <cell r="E305">
            <v>0</v>
          </cell>
          <cell r="F305">
            <v>0</v>
          </cell>
          <cell r="G305">
            <v>0</v>
          </cell>
          <cell r="I305" t="str">
            <v xml:space="preserve">       c.  Group Home (DD)</v>
          </cell>
          <cell r="J305">
            <v>0</v>
          </cell>
          <cell r="K305">
            <v>0</v>
          </cell>
          <cell r="L305">
            <v>0</v>
          </cell>
          <cell r="M305">
            <v>0</v>
          </cell>
          <cell r="N305">
            <v>0</v>
          </cell>
          <cell r="O305">
            <v>0</v>
          </cell>
          <cell r="Q305" t="str">
            <v xml:space="preserve">       c.  Group Home (DD)</v>
          </cell>
          <cell r="R305">
            <v>0</v>
          </cell>
          <cell r="S305">
            <v>0</v>
          </cell>
          <cell r="T305">
            <v>0</v>
          </cell>
          <cell r="U305">
            <v>0</v>
          </cell>
          <cell r="V305">
            <v>0</v>
          </cell>
          <cell r="W305">
            <v>0</v>
          </cell>
          <cell r="Y305" t="str">
            <v xml:space="preserve">       c.  Group Home (DD)</v>
          </cell>
          <cell r="Z305">
            <v>0</v>
          </cell>
          <cell r="AA305">
            <v>4.0299999999999994</v>
          </cell>
          <cell r="AB305">
            <v>0</v>
          </cell>
          <cell r="AC305">
            <v>0</v>
          </cell>
          <cell r="AD305">
            <v>0</v>
          </cell>
          <cell r="AE305">
            <v>4.0299999999999994</v>
          </cell>
          <cell r="AG305" t="str">
            <v xml:space="preserve">       c.  Group Home (DD)</v>
          </cell>
          <cell r="AH305">
            <v>0</v>
          </cell>
          <cell r="AI305">
            <v>0</v>
          </cell>
          <cell r="AJ305">
            <v>0</v>
          </cell>
          <cell r="AK305">
            <v>0</v>
          </cell>
          <cell r="AL305">
            <v>0</v>
          </cell>
          <cell r="AM305">
            <v>0</v>
          </cell>
          <cell r="AO305" t="str">
            <v xml:space="preserve">       c.  Group Home (DD)</v>
          </cell>
          <cell r="AP305">
            <v>0</v>
          </cell>
          <cell r="AQ305">
            <v>0</v>
          </cell>
          <cell r="AR305">
            <v>0</v>
          </cell>
          <cell r="AS305">
            <v>0</v>
          </cell>
          <cell r="AT305">
            <v>0</v>
          </cell>
          <cell r="AU305">
            <v>0</v>
          </cell>
          <cell r="AW305" t="str">
            <v xml:space="preserve">       c.  Group Home (DD)</v>
          </cell>
          <cell r="AX305">
            <v>0</v>
          </cell>
          <cell r="AY305">
            <v>0</v>
          </cell>
          <cell r="AZ305">
            <v>0</v>
          </cell>
          <cell r="BA305">
            <v>0</v>
          </cell>
          <cell r="BB305">
            <v>0</v>
          </cell>
          <cell r="BC305">
            <v>0</v>
          </cell>
        </row>
        <row r="306">
          <cell r="A306" t="str">
            <v xml:space="preserve">       d.  Individual Home</v>
          </cell>
          <cell r="B306">
            <v>0</v>
          </cell>
          <cell r="C306">
            <v>79.72999999999999</v>
          </cell>
          <cell r="D306">
            <v>0</v>
          </cell>
          <cell r="E306">
            <v>36.950000000000003</v>
          </cell>
          <cell r="F306">
            <v>0</v>
          </cell>
          <cell r="G306">
            <v>116.67999999999999</v>
          </cell>
          <cell r="I306" t="str">
            <v xml:space="preserve">       d.  Individual Home</v>
          </cell>
          <cell r="J306">
            <v>0</v>
          </cell>
          <cell r="K306">
            <v>104.99</v>
          </cell>
          <cell r="L306">
            <v>0</v>
          </cell>
          <cell r="M306">
            <v>45.69</v>
          </cell>
          <cell r="N306">
            <v>0</v>
          </cell>
          <cell r="O306">
            <v>150.68</v>
          </cell>
          <cell r="Q306" t="str">
            <v xml:space="preserve">       d.  Individual Home</v>
          </cell>
          <cell r="R306">
            <v>0</v>
          </cell>
          <cell r="S306">
            <v>69.900000000000006</v>
          </cell>
          <cell r="T306">
            <v>0</v>
          </cell>
          <cell r="U306">
            <v>3</v>
          </cell>
          <cell r="V306">
            <v>0</v>
          </cell>
          <cell r="W306">
            <v>72.900000000000006</v>
          </cell>
          <cell r="Y306" t="str">
            <v xml:space="preserve">       d.  Individual Home</v>
          </cell>
          <cell r="Z306">
            <v>0</v>
          </cell>
          <cell r="AA306">
            <v>1965.87</v>
          </cell>
          <cell r="AB306">
            <v>0</v>
          </cell>
          <cell r="AC306">
            <v>726.05</v>
          </cell>
          <cell r="AD306">
            <v>0</v>
          </cell>
          <cell r="AE306">
            <v>2691.92</v>
          </cell>
          <cell r="AG306" t="str">
            <v xml:space="preserve">       d.  Individual Home</v>
          </cell>
          <cell r="AH306">
            <v>0</v>
          </cell>
          <cell r="AI306">
            <v>534.37</v>
          </cell>
          <cell r="AJ306">
            <v>0</v>
          </cell>
          <cell r="AK306">
            <v>126.09</v>
          </cell>
          <cell r="AL306">
            <v>0</v>
          </cell>
          <cell r="AM306">
            <v>660.46</v>
          </cell>
          <cell r="AO306" t="str">
            <v xml:space="preserve">       d.  Individual Home</v>
          </cell>
          <cell r="AP306">
            <v>0</v>
          </cell>
          <cell r="AQ306">
            <v>196.08</v>
          </cell>
          <cell r="AR306">
            <v>0</v>
          </cell>
          <cell r="AS306">
            <v>78.42</v>
          </cell>
          <cell r="AT306">
            <v>0</v>
          </cell>
          <cell r="AU306">
            <v>274.5</v>
          </cell>
          <cell r="AW306" t="str">
            <v xml:space="preserve">       d.  Individual Home</v>
          </cell>
          <cell r="AX306">
            <v>0</v>
          </cell>
          <cell r="AY306">
            <v>336.13</v>
          </cell>
          <cell r="AZ306">
            <v>0</v>
          </cell>
          <cell r="BA306">
            <v>124.83999999999999</v>
          </cell>
          <cell r="BB306">
            <v>0</v>
          </cell>
          <cell r="BC306">
            <v>460.96999999999997</v>
          </cell>
        </row>
        <row r="307">
          <cell r="A307" t="str">
            <v xml:space="preserve">       e.  Assisted Living Centers (SRL)</v>
          </cell>
          <cell r="B307">
            <v>0</v>
          </cell>
          <cell r="C307">
            <v>3.3200000000000003</v>
          </cell>
          <cell r="D307">
            <v>0</v>
          </cell>
          <cell r="E307">
            <v>3</v>
          </cell>
          <cell r="F307">
            <v>0</v>
          </cell>
          <cell r="G307">
            <v>6.32</v>
          </cell>
          <cell r="I307" t="str">
            <v xml:space="preserve">       e.  Assisted Living Centers (SRL)</v>
          </cell>
          <cell r="J307">
            <v>0</v>
          </cell>
          <cell r="K307">
            <v>144.38999999999999</v>
          </cell>
          <cell r="L307">
            <v>0</v>
          </cell>
          <cell r="M307">
            <v>8.17</v>
          </cell>
          <cell r="N307">
            <v>0</v>
          </cell>
          <cell r="O307">
            <v>152.55999999999997</v>
          </cell>
          <cell r="Q307" t="str">
            <v xml:space="preserve">       e.  Assisted Living Centers (SRL)</v>
          </cell>
          <cell r="R307">
            <v>0</v>
          </cell>
          <cell r="S307">
            <v>8.65</v>
          </cell>
          <cell r="T307">
            <v>0</v>
          </cell>
          <cell r="U307">
            <v>0</v>
          </cell>
          <cell r="V307">
            <v>0</v>
          </cell>
          <cell r="W307">
            <v>8.65</v>
          </cell>
          <cell r="Y307" t="str">
            <v xml:space="preserve">       e.  Assisted Living Centers (SRL)</v>
          </cell>
          <cell r="Z307">
            <v>0</v>
          </cell>
          <cell r="AA307">
            <v>2157.25</v>
          </cell>
          <cell r="AB307">
            <v>0</v>
          </cell>
          <cell r="AC307">
            <v>134.42000000000002</v>
          </cell>
          <cell r="AD307">
            <v>0</v>
          </cell>
          <cell r="AE307">
            <v>2291.67</v>
          </cell>
          <cell r="AG307" t="str">
            <v xml:space="preserve">       e.  Assisted Living Centers (SRL)</v>
          </cell>
          <cell r="AH307">
            <v>0</v>
          </cell>
          <cell r="AI307">
            <v>365.73</v>
          </cell>
          <cell r="AJ307">
            <v>0</v>
          </cell>
          <cell r="AK307">
            <v>51.73</v>
          </cell>
          <cell r="AL307">
            <v>0</v>
          </cell>
          <cell r="AM307">
            <v>417.46000000000004</v>
          </cell>
          <cell r="AO307" t="str">
            <v xml:space="preserve">       e.  Assisted Living Centers (SRL)</v>
          </cell>
          <cell r="AP307">
            <v>0</v>
          </cell>
          <cell r="AQ307">
            <v>57.95</v>
          </cell>
          <cell r="AR307">
            <v>0</v>
          </cell>
          <cell r="AS307">
            <v>9.8000000000000007</v>
          </cell>
          <cell r="AT307">
            <v>0</v>
          </cell>
          <cell r="AU307">
            <v>67.75</v>
          </cell>
          <cell r="AW307" t="str">
            <v xml:space="preserve">       e.  Assisted Living Centers (SRL)</v>
          </cell>
          <cell r="AX307">
            <v>0</v>
          </cell>
          <cell r="AY307">
            <v>144.34</v>
          </cell>
          <cell r="AZ307">
            <v>0</v>
          </cell>
          <cell r="BA307">
            <v>16.86</v>
          </cell>
          <cell r="BB307">
            <v>0</v>
          </cell>
          <cell r="BC307">
            <v>161.19999999999999</v>
          </cell>
        </row>
        <row r="308">
          <cell r="A308" t="str">
            <v xml:space="preserve">       f.  Other (Hospice)</v>
          </cell>
          <cell r="B308">
            <v>0</v>
          </cell>
          <cell r="C308">
            <v>17.420000000000002</v>
          </cell>
          <cell r="D308">
            <v>0</v>
          </cell>
          <cell r="E308">
            <v>0</v>
          </cell>
          <cell r="F308">
            <v>0</v>
          </cell>
          <cell r="G308">
            <v>17.420000000000002</v>
          </cell>
          <cell r="I308" t="str">
            <v xml:space="preserve">       f.  Other (Hospice)</v>
          </cell>
          <cell r="J308">
            <v>0</v>
          </cell>
          <cell r="K308">
            <v>1.9100000000000001</v>
          </cell>
          <cell r="L308">
            <v>0</v>
          </cell>
          <cell r="M308">
            <v>0</v>
          </cell>
          <cell r="N308">
            <v>0</v>
          </cell>
          <cell r="O308">
            <v>1.9100000000000001</v>
          </cell>
          <cell r="Q308" t="str">
            <v xml:space="preserve">       f.  Other (Hospice)</v>
          </cell>
          <cell r="R308">
            <v>0</v>
          </cell>
          <cell r="S308">
            <v>0</v>
          </cell>
          <cell r="T308">
            <v>0</v>
          </cell>
          <cell r="U308">
            <v>3</v>
          </cell>
          <cell r="V308">
            <v>0</v>
          </cell>
          <cell r="W308">
            <v>3</v>
          </cell>
          <cell r="Y308" t="str">
            <v xml:space="preserve">       f.  Other (Hospice)</v>
          </cell>
          <cell r="Z308">
            <v>0</v>
          </cell>
          <cell r="AA308">
            <v>287.98</v>
          </cell>
          <cell r="AB308">
            <v>0</v>
          </cell>
          <cell r="AC308">
            <v>6.83</v>
          </cell>
          <cell r="AD308">
            <v>0</v>
          </cell>
          <cell r="AE308">
            <v>294.81</v>
          </cell>
          <cell r="AG308" t="str">
            <v xml:space="preserve">       f.  Other (Hospice)</v>
          </cell>
          <cell r="AH308">
            <v>0</v>
          </cell>
          <cell r="AI308">
            <v>4.0600000000000005</v>
          </cell>
          <cell r="AJ308">
            <v>0</v>
          </cell>
          <cell r="AK308">
            <v>0</v>
          </cell>
          <cell r="AL308">
            <v>0</v>
          </cell>
          <cell r="AM308">
            <v>4.0600000000000005</v>
          </cell>
          <cell r="AO308" t="str">
            <v xml:space="preserve">       f.  Other (Hospice)</v>
          </cell>
          <cell r="AP308">
            <v>0</v>
          </cell>
          <cell r="AQ308">
            <v>16.420000000000002</v>
          </cell>
          <cell r="AR308">
            <v>0</v>
          </cell>
          <cell r="AS308">
            <v>6.49</v>
          </cell>
          <cell r="AT308">
            <v>0</v>
          </cell>
          <cell r="AU308">
            <v>22.910000000000004</v>
          </cell>
          <cell r="AW308" t="str">
            <v xml:space="preserve">       f.  Other (Hospice)</v>
          </cell>
          <cell r="AX308">
            <v>0</v>
          </cell>
          <cell r="AY308">
            <v>25.36</v>
          </cell>
          <cell r="AZ308">
            <v>0</v>
          </cell>
          <cell r="BA308">
            <v>1.9</v>
          </cell>
          <cell r="BB308">
            <v>0</v>
          </cell>
          <cell r="BC308">
            <v>27.259999999999998</v>
          </cell>
        </row>
        <row r="309">
          <cell r="A309" t="str">
            <v xml:space="preserve">       g.  Attendant Care</v>
          </cell>
          <cell r="B309">
            <v>0</v>
          </cell>
          <cell r="C309">
            <v>48.48</v>
          </cell>
          <cell r="D309">
            <v>0</v>
          </cell>
          <cell r="E309">
            <v>9</v>
          </cell>
          <cell r="F309">
            <v>0</v>
          </cell>
          <cell r="G309">
            <v>57.48</v>
          </cell>
          <cell r="I309" t="str">
            <v xml:space="preserve">       g.  Attendant Care</v>
          </cell>
          <cell r="J309">
            <v>0</v>
          </cell>
          <cell r="K309">
            <v>68.13</v>
          </cell>
          <cell r="L309">
            <v>0</v>
          </cell>
          <cell r="M309">
            <v>28.619999999999997</v>
          </cell>
          <cell r="N309">
            <v>0</v>
          </cell>
          <cell r="O309">
            <v>96.75</v>
          </cell>
          <cell r="Q309" t="str">
            <v xml:space="preserve">       g.  Attendant Care</v>
          </cell>
          <cell r="R309">
            <v>0</v>
          </cell>
          <cell r="S309">
            <v>17</v>
          </cell>
          <cell r="T309">
            <v>0</v>
          </cell>
          <cell r="U309">
            <v>8.07</v>
          </cell>
          <cell r="V309">
            <v>0</v>
          </cell>
          <cell r="W309">
            <v>25.07</v>
          </cell>
          <cell r="Y309" t="str">
            <v xml:space="preserve">       g.  Attendant Care</v>
          </cell>
          <cell r="Z309">
            <v>0</v>
          </cell>
          <cell r="AA309">
            <v>2083.3200000000002</v>
          </cell>
          <cell r="AB309">
            <v>0</v>
          </cell>
          <cell r="AC309">
            <v>496.35</v>
          </cell>
          <cell r="AD309">
            <v>0</v>
          </cell>
          <cell r="AE309">
            <v>2579.67</v>
          </cell>
          <cell r="AG309" t="str">
            <v xml:space="preserve">       g.  Attendant Care</v>
          </cell>
          <cell r="AH309">
            <v>0</v>
          </cell>
          <cell r="AI309">
            <v>378.56</v>
          </cell>
          <cell r="AJ309">
            <v>0</v>
          </cell>
          <cell r="AK309">
            <v>57.490000000000009</v>
          </cell>
          <cell r="AL309">
            <v>0</v>
          </cell>
          <cell r="AM309">
            <v>436.05</v>
          </cell>
          <cell r="AO309" t="str">
            <v xml:space="preserve">       g.  Attendant Care</v>
          </cell>
          <cell r="AP309">
            <v>0</v>
          </cell>
          <cell r="AQ309">
            <v>124.47</v>
          </cell>
          <cell r="AR309">
            <v>0</v>
          </cell>
          <cell r="AS309">
            <v>29</v>
          </cell>
          <cell r="AT309">
            <v>0</v>
          </cell>
          <cell r="AU309">
            <v>153.47</v>
          </cell>
          <cell r="AW309" t="str">
            <v xml:space="preserve">       g.  Attendant Care</v>
          </cell>
          <cell r="AX309">
            <v>0</v>
          </cell>
          <cell r="AY309">
            <v>397.32000000000005</v>
          </cell>
          <cell r="AZ309">
            <v>0</v>
          </cell>
          <cell r="BA309">
            <v>105.08000000000001</v>
          </cell>
          <cell r="BB309">
            <v>0</v>
          </cell>
          <cell r="BC309">
            <v>502.40000000000009</v>
          </cell>
        </row>
        <row r="310">
          <cell r="A310" t="str">
            <v xml:space="preserve">   8.  Acute Care</v>
          </cell>
          <cell r="B310">
            <v>0</v>
          </cell>
          <cell r="C310">
            <v>3.2</v>
          </cell>
          <cell r="D310">
            <v>0</v>
          </cell>
          <cell r="E310">
            <v>0</v>
          </cell>
          <cell r="F310">
            <v>0</v>
          </cell>
          <cell r="G310">
            <v>3.2</v>
          </cell>
          <cell r="I310" t="str">
            <v xml:space="preserve">   8.  Acute Care</v>
          </cell>
          <cell r="J310">
            <v>0</v>
          </cell>
          <cell r="K310">
            <v>11</v>
          </cell>
          <cell r="L310">
            <v>0</v>
          </cell>
          <cell r="M310">
            <v>6.0299999999999994</v>
          </cell>
          <cell r="N310">
            <v>0</v>
          </cell>
          <cell r="O310">
            <v>17.03</v>
          </cell>
          <cell r="Q310" t="str">
            <v xml:space="preserve">   8.  Acute Care</v>
          </cell>
          <cell r="R310">
            <v>0</v>
          </cell>
          <cell r="S310">
            <v>7.5299999999999994</v>
          </cell>
          <cell r="T310">
            <v>0</v>
          </cell>
          <cell r="U310">
            <v>0</v>
          </cell>
          <cell r="V310">
            <v>0</v>
          </cell>
          <cell r="W310">
            <v>7.5299999999999994</v>
          </cell>
          <cell r="Y310" t="str">
            <v xml:space="preserve">   8.  Acute Care</v>
          </cell>
          <cell r="Z310">
            <v>0</v>
          </cell>
          <cell r="AA310">
            <v>114.88</v>
          </cell>
          <cell r="AB310">
            <v>0</v>
          </cell>
          <cell r="AC310">
            <v>85.009999999999991</v>
          </cell>
          <cell r="AD310">
            <v>0</v>
          </cell>
          <cell r="AE310">
            <v>199.89</v>
          </cell>
          <cell r="AG310" t="str">
            <v xml:space="preserve">   8.  Acute Care</v>
          </cell>
          <cell r="AH310">
            <v>0</v>
          </cell>
          <cell r="AI310">
            <v>6.9</v>
          </cell>
          <cell r="AJ310">
            <v>0</v>
          </cell>
          <cell r="AK310">
            <v>0</v>
          </cell>
          <cell r="AL310">
            <v>0</v>
          </cell>
          <cell r="AM310">
            <v>6.9</v>
          </cell>
          <cell r="AO310" t="str">
            <v xml:space="preserve">   8.  Acute Care</v>
          </cell>
          <cell r="AP310">
            <v>0</v>
          </cell>
          <cell r="AQ310">
            <v>4.57</v>
          </cell>
          <cell r="AR310">
            <v>0</v>
          </cell>
          <cell r="AS310">
            <v>0</v>
          </cell>
          <cell r="AT310">
            <v>0</v>
          </cell>
          <cell r="AU310">
            <v>4.57</v>
          </cell>
          <cell r="AW310" t="str">
            <v xml:space="preserve">   8.  Acute Care</v>
          </cell>
          <cell r="AX310">
            <v>0</v>
          </cell>
          <cell r="AY310">
            <v>5</v>
          </cell>
          <cell r="AZ310">
            <v>0</v>
          </cell>
          <cell r="BA310">
            <v>5</v>
          </cell>
          <cell r="BB310">
            <v>0</v>
          </cell>
          <cell r="BC310">
            <v>10</v>
          </cell>
        </row>
        <row r="311">
          <cell r="A311" t="str">
            <v xml:space="preserve">   9.  Ventilator</v>
          </cell>
          <cell r="B311">
            <v>0</v>
          </cell>
          <cell r="C311">
            <v>0</v>
          </cell>
          <cell r="D311">
            <v>0</v>
          </cell>
          <cell r="E311">
            <v>0</v>
          </cell>
          <cell r="F311">
            <v>0</v>
          </cell>
          <cell r="G311">
            <v>0</v>
          </cell>
          <cell r="I311" t="str">
            <v xml:space="preserve">   9.  Ventilator</v>
          </cell>
          <cell r="J311">
            <v>0</v>
          </cell>
          <cell r="K311">
            <v>0</v>
          </cell>
          <cell r="L311">
            <v>0</v>
          </cell>
          <cell r="M311">
            <v>3</v>
          </cell>
          <cell r="N311">
            <v>0</v>
          </cell>
          <cell r="O311">
            <v>3</v>
          </cell>
          <cell r="Q311" t="str">
            <v xml:space="preserve">   9.  Ventilator</v>
          </cell>
          <cell r="R311">
            <v>0</v>
          </cell>
          <cell r="S311">
            <v>0</v>
          </cell>
          <cell r="T311">
            <v>0</v>
          </cell>
          <cell r="U311">
            <v>0</v>
          </cell>
          <cell r="V311">
            <v>0</v>
          </cell>
          <cell r="W311">
            <v>0</v>
          </cell>
          <cell r="Y311" t="str">
            <v xml:space="preserve">   9.  Ventilator</v>
          </cell>
          <cell r="Z311">
            <v>0</v>
          </cell>
          <cell r="AA311">
            <v>64.25</v>
          </cell>
          <cell r="AB311">
            <v>0</v>
          </cell>
          <cell r="AC311">
            <v>56.510000000000005</v>
          </cell>
          <cell r="AD311">
            <v>0</v>
          </cell>
          <cell r="AE311">
            <v>120.76</v>
          </cell>
          <cell r="AG311" t="str">
            <v xml:space="preserve">   9.  Ventilator</v>
          </cell>
          <cell r="AH311">
            <v>0</v>
          </cell>
          <cell r="AI311">
            <v>4</v>
          </cell>
          <cell r="AJ311">
            <v>0</v>
          </cell>
          <cell r="AK311">
            <v>0</v>
          </cell>
          <cell r="AL311">
            <v>0</v>
          </cell>
          <cell r="AM311">
            <v>4</v>
          </cell>
          <cell r="AO311" t="str">
            <v xml:space="preserve">   9.  Ventilator</v>
          </cell>
          <cell r="AP311">
            <v>0</v>
          </cell>
          <cell r="AQ311">
            <v>4</v>
          </cell>
          <cell r="AR311">
            <v>0</v>
          </cell>
          <cell r="AS311">
            <v>3</v>
          </cell>
          <cell r="AT311">
            <v>0</v>
          </cell>
          <cell r="AU311">
            <v>7</v>
          </cell>
          <cell r="AW311" t="str">
            <v xml:space="preserve">   9.  Ventilator</v>
          </cell>
          <cell r="AX311">
            <v>0</v>
          </cell>
          <cell r="AY311">
            <v>0</v>
          </cell>
          <cell r="AZ311">
            <v>0</v>
          </cell>
          <cell r="BA311">
            <v>3</v>
          </cell>
          <cell r="BB311">
            <v>0</v>
          </cell>
          <cell r="BC311">
            <v>3</v>
          </cell>
        </row>
        <row r="312">
          <cell r="A312" t="str">
            <v xml:space="preserve">  10.  Prior Period</v>
          </cell>
          <cell r="B312">
            <v>0</v>
          </cell>
          <cell r="C312">
            <v>1.9666999999999999</v>
          </cell>
          <cell r="D312">
            <v>0</v>
          </cell>
          <cell r="E312">
            <v>0</v>
          </cell>
          <cell r="F312">
            <v>0</v>
          </cell>
          <cell r="G312">
            <v>1.9666999999999999</v>
          </cell>
          <cell r="I312" t="str">
            <v xml:space="preserve">  10.  Prior Period</v>
          </cell>
          <cell r="J312">
            <v>0</v>
          </cell>
          <cell r="K312">
            <v>16.677399999999999</v>
          </cell>
          <cell r="L312">
            <v>0</v>
          </cell>
          <cell r="M312">
            <v>4.9333</v>
          </cell>
          <cell r="N312">
            <v>0</v>
          </cell>
          <cell r="O312">
            <v>21.610699999999998</v>
          </cell>
          <cell r="Q312" t="str">
            <v xml:space="preserve">  10.  Prior Period</v>
          </cell>
          <cell r="R312">
            <v>0</v>
          </cell>
          <cell r="S312">
            <v>19.161200000000001</v>
          </cell>
          <cell r="T312">
            <v>0</v>
          </cell>
          <cell r="U312">
            <v>0</v>
          </cell>
          <cell r="V312">
            <v>0</v>
          </cell>
          <cell r="W312">
            <v>19.161200000000001</v>
          </cell>
          <cell r="Y312" t="str">
            <v xml:space="preserve">  10.  Prior Period</v>
          </cell>
          <cell r="Z312">
            <v>0</v>
          </cell>
          <cell r="AA312">
            <v>506.45180000000005</v>
          </cell>
          <cell r="AB312">
            <v>0</v>
          </cell>
          <cell r="AC312">
            <v>36.459099999999999</v>
          </cell>
          <cell r="AD312">
            <v>0</v>
          </cell>
          <cell r="AE312">
            <v>542.91090000000008</v>
          </cell>
          <cell r="AG312" t="str">
            <v xml:space="preserve">  10.  Prior Period</v>
          </cell>
          <cell r="AH312">
            <v>0</v>
          </cell>
          <cell r="AI312">
            <v>80.073099999999997</v>
          </cell>
          <cell r="AJ312">
            <v>0</v>
          </cell>
          <cell r="AK312">
            <v>9.0333000000000006</v>
          </cell>
          <cell r="AL312">
            <v>0</v>
          </cell>
          <cell r="AM312">
            <v>89.106399999999994</v>
          </cell>
          <cell r="AO312" t="str">
            <v xml:space="preserve">  10.  Prior Period</v>
          </cell>
          <cell r="AP312">
            <v>0</v>
          </cell>
          <cell r="AQ312">
            <v>21.099999999999998</v>
          </cell>
          <cell r="AR312">
            <v>0</v>
          </cell>
          <cell r="AS312">
            <v>3.2300000000000002E-2</v>
          </cell>
          <cell r="AT312">
            <v>0</v>
          </cell>
          <cell r="AU312">
            <v>21.132299999999997</v>
          </cell>
          <cell r="AW312" t="str">
            <v xml:space="preserve">  10.  Prior Period</v>
          </cell>
          <cell r="AX312">
            <v>0</v>
          </cell>
          <cell r="AY312">
            <v>39.611800000000002</v>
          </cell>
          <cell r="AZ312">
            <v>0</v>
          </cell>
          <cell r="BA312">
            <v>0</v>
          </cell>
          <cell r="BB312">
            <v>0</v>
          </cell>
          <cell r="BC312">
            <v>39.611800000000002</v>
          </cell>
        </row>
        <row r="313">
          <cell r="A313" t="str">
            <v xml:space="preserve">  11.  Other - Not Placed</v>
          </cell>
          <cell r="B313">
            <v>0</v>
          </cell>
          <cell r="C313">
            <v>-23.29</v>
          </cell>
          <cell r="D313">
            <v>0</v>
          </cell>
          <cell r="E313">
            <v>-7</v>
          </cell>
          <cell r="F313">
            <v>0</v>
          </cell>
          <cell r="G313">
            <v>-30.29</v>
          </cell>
          <cell r="I313" t="str">
            <v xml:space="preserve">  11.  Other - Not Placed</v>
          </cell>
          <cell r="J313">
            <v>0</v>
          </cell>
          <cell r="K313">
            <v>-42.91</v>
          </cell>
          <cell r="L313">
            <v>0</v>
          </cell>
          <cell r="M313">
            <v>-4.43</v>
          </cell>
          <cell r="N313">
            <v>0</v>
          </cell>
          <cell r="O313">
            <v>-47.339999999999996</v>
          </cell>
          <cell r="Q313" t="str">
            <v xml:space="preserve">  11.  Other - Not Placed</v>
          </cell>
          <cell r="R313">
            <v>0</v>
          </cell>
          <cell r="S313">
            <v>-22.83</v>
          </cell>
          <cell r="T313">
            <v>0</v>
          </cell>
          <cell r="U313">
            <v>0</v>
          </cell>
          <cell r="V313">
            <v>0</v>
          </cell>
          <cell r="W313">
            <v>-22.83</v>
          </cell>
          <cell r="Y313" t="str">
            <v xml:space="preserve">  11.  Other - Not Placed</v>
          </cell>
          <cell r="Z313">
            <v>0</v>
          </cell>
          <cell r="AA313">
            <v>-1251.3499999999979</v>
          </cell>
          <cell r="AB313">
            <v>0</v>
          </cell>
          <cell r="AC313">
            <v>-184.51999999999998</v>
          </cell>
          <cell r="AD313">
            <v>0</v>
          </cell>
          <cell r="AE313">
            <v>-1435.8699999999978</v>
          </cell>
          <cell r="AG313" t="str">
            <v xml:space="preserve">  11.  Other - Not Placed</v>
          </cell>
          <cell r="AH313">
            <v>0</v>
          </cell>
          <cell r="AI313">
            <v>-294.55</v>
          </cell>
          <cell r="AJ313">
            <v>0</v>
          </cell>
          <cell r="AK313">
            <v>-14.290000000000001</v>
          </cell>
          <cell r="AL313">
            <v>0</v>
          </cell>
          <cell r="AM313">
            <v>-308.84000000000003</v>
          </cell>
          <cell r="AO313" t="str">
            <v xml:space="preserve">  11.  Other - Not Placed</v>
          </cell>
          <cell r="AP313">
            <v>0</v>
          </cell>
          <cell r="AQ313">
            <v>-31.769999999999996</v>
          </cell>
          <cell r="AR313">
            <v>0</v>
          </cell>
          <cell r="AS313">
            <v>-18.259999999999998</v>
          </cell>
          <cell r="AT313">
            <v>0</v>
          </cell>
          <cell r="AU313">
            <v>-50.029999999999994</v>
          </cell>
          <cell r="AW313" t="str">
            <v xml:space="preserve">  11.  Other - Not Placed</v>
          </cell>
          <cell r="AX313">
            <v>0</v>
          </cell>
          <cell r="AY313">
            <v>-270.71000000000004</v>
          </cell>
          <cell r="AZ313">
            <v>0</v>
          </cell>
          <cell r="BA313">
            <v>-48.54</v>
          </cell>
          <cell r="BB313">
            <v>0</v>
          </cell>
          <cell r="BC313">
            <v>-319.25000000000006</v>
          </cell>
        </row>
        <row r="315">
          <cell r="A315" t="str">
            <v>C.   Acute Patient Day Information</v>
          </cell>
          <cell r="I315" t="str">
            <v>C.   Acute Patient Day Information</v>
          </cell>
          <cell r="Q315" t="str">
            <v>C.   Acute Patient Day Information</v>
          </cell>
          <cell r="Y315" t="str">
            <v>C.   Acute Patient Day Information</v>
          </cell>
          <cell r="AG315" t="str">
            <v>C.   Acute Patient Day Information</v>
          </cell>
          <cell r="AO315" t="str">
            <v>C.   Acute Patient Day Information</v>
          </cell>
          <cell r="AW315" t="str">
            <v>C.   Acute Patient Day Information</v>
          </cell>
        </row>
        <row r="316">
          <cell r="A316" t="str">
            <v xml:space="preserve">       a.  Admissions</v>
          </cell>
          <cell r="B316">
            <v>0</v>
          </cell>
          <cell r="C316">
            <v>16</v>
          </cell>
          <cell r="D316">
            <v>0</v>
          </cell>
          <cell r="E316">
            <v>2</v>
          </cell>
          <cell r="F316">
            <v>0</v>
          </cell>
          <cell r="G316">
            <v>18</v>
          </cell>
          <cell r="I316" t="str">
            <v xml:space="preserve">       a.  Admissions</v>
          </cell>
          <cell r="J316">
            <v>0</v>
          </cell>
          <cell r="K316">
            <v>28</v>
          </cell>
          <cell r="L316">
            <v>0</v>
          </cell>
          <cell r="M316">
            <v>10</v>
          </cell>
          <cell r="N316">
            <v>0</v>
          </cell>
          <cell r="O316">
            <v>38</v>
          </cell>
          <cell r="Q316" t="str">
            <v xml:space="preserve">       a.  Admissions</v>
          </cell>
          <cell r="R316">
            <v>0</v>
          </cell>
          <cell r="S316">
            <v>17</v>
          </cell>
          <cell r="T316">
            <v>0</v>
          </cell>
          <cell r="U316">
            <v>2</v>
          </cell>
          <cell r="V316">
            <v>0</v>
          </cell>
          <cell r="W316">
            <v>19</v>
          </cell>
          <cell r="Y316" t="str">
            <v xml:space="preserve">       a.  Admissions</v>
          </cell>
          <cell r="Z316">
            <v>0</v>
          </cell>
          <cell r="AA316">
            <v>789</v>
          </cell>
          <cell r="AB316">
            <v>0</v>
          </cell>
          <cell r="AC316">
            <v>142</v>
          </cell>
          <cell r="AD316">
            <v>0</v>
          </cell>
          <cell r="AE316">
            <v>931</v>
          </cell>
          <cell r="AG316" t="str">
            <v xml:space="preserve">       a.  Admissions</v>
          </cell>
          <cell r="AH316">
            <v>0</v>
          </cell>
          <cell r="AI316">
            <v>125</v>
          </cell>
          <cell r="AJ316">
            <v>0</v>
          </cell>
          <cell r="AK316">
            <v>34</v>
          </cell>
          <cell r="AL316">
            <v>0</v>
          </cell>
          <cell r="AM316">
            <v>159</v>
          </cell>
          <cell r="AO316" t="str">
            <v xml:space="preserve">       a.  Admissions</v>
          </cell>
          <cell r="AP316">
            <v>0</v>
          </cell>
          <cell r="AQ316">
            <v>34</v>
          </cell>
          <cell r="AR316">
            <v>0</v>
          </cell>
          <cell r="AS316">
            <v>7</v>
          </cell>
          <cell r="AT316">
            <v>0</v>
          </cell>
          <cell r="AU316">
            <v>41</v>
          </cell>
          <cell r="AW316" t="str">
            <v xml:space="preserve">       a.  Admissions</v>
          </cell>
          <cell r="AX316">
            <v>0</v>
          </cell>
          <cell r="AY316">
            <v>112</v>
          </cell>
          <cell r="AZ316">
            <v>0</v>
          </cell>
          <cell r="BA316">
            <v>14</v>
          </cell>
          <cell r="BB316">
            <v>0</v>
          </cell>
          <cell r="BC316">
            <v>126</v>
          </cell>
        </row>
        <row r="317">
          <cell r="A317" t="str">
            <v xml:space="preserve">       b.  Patient Days</v>
          </cell>
          <cell r="B317">
            <v>0</v>
          </cell>
          <cell r="C317">
            <v>76</v>
          </cell>
          <cell r="D317">
            <v>0</v>
          </cell>
          <cell r="E317">
            <v>11</v>
          </cell>
          <cell r="F317">
            <v>0</v>
          </cell>
          <cell r="G317">
            <v>87</v>
          </cell>
          <cell r="I317" t="str">
            <v xml:space="preserve">       b.  Patient Days</v>
          </cell>
          <cell r="J317">
            <v>0</v>
          </cell>
          <cell r="K317">
            <v>170</v>
          </cell>
          <cell r="L317">
            <v>0</v>
          </cell>
          <cell r="M317">
            <v>63</v>
          </cell>
          <cell r="N317">
            <v>0</v>
          </cell>
          <cell r="O317">
            <v>233</v>
          </cell>
          <cell r="Q317" t="str">
            <v xml:space="preserve">       b.  Patient Days</v>
          </cell>
          <cell r="R317">
            <v>0</v>
          </cell>
          <cell r="S317">
            <v>95</v>
          </cell>
          <cell r="T317">
            <v>0</v>
          </cell>
          <cell r="U317">
            <v>6</v>
          </cell>
          <cell r="V317">
            <v>0</v>
          </cell>
          <cell r="W317">
            <v>101</v>
          </cell>
          <cell r="Y317" t="str">
            <v xml:space="preserve">       b.  Patient Days</v>
          </cell>
          <cell r="Z317">
            <v>0</v>
          </cell>
          <cell r="AA317">
            <v>4179</v>
          </cell>
          <cell r="AB317">
            <v>0</v>
          </cell>
          <cell r="AC317">
            <v>826</v>
          </cell>
          <cell r="AD317">
            <v>0</v>
          </cell>
          <cell r="AE317">
            <v>5005</v>
          </cell>
          <cell r="AG317" t="str">
            <v xml:space="preserve">       b.  Patient Days</v>
          </cell>
          <cell r="AH317">
            <v>0</v>
          </cell>
          <cell r="AI317">
            <v>727</v>
          </cell>
          <cell r="AJ317">
            <v>0</v>
          </cell>
          <cell r="AK317">
            <v>221</v>
          </cell>
          <cell r="AL317">
            <v>0</v>
          </cell>
          <cell r="AM317">
            <v>948</v>
          </cell>
          <cell r="AO317" t="str">
            <v xml:space="preserve">       b.  Patient Days</v>
          </cell>
          <cell r="AP317">
            <v>0</v>
          </cell>
          <cell r="AQ317">
            <v>165</v>
          </cell>
          <cell r="AR317">
            <v>0</v>
          </cell>
          <cell r="AS317">
            <v>52</v>
          </cell>
          <cell r="AT317">
            <v>0</v>
          </cell>
          <cell r="AU317">
            <v>217</v>
          </cell>
          <cell r="AW317" t="str">
            <v xml:space="preserve">       b.  Patient Days</v>
          </cell>
          <cell r="AX317">
            <v>0</v>
          </cell>
          <cell r="AY317">
            <v>682</v>
          </cell>
          <cell r="AZ317">
            <v>0</v>
          </cell>
          <cell r="BA317">
            <v>52</v>
          </cell>
          <cell r="BB317">
            <v>0</v>
          </cell>
          <cell r="BC317">
            <v>734</v>
          </cell>
        </row>
        <row r="318">
          <cell r="A318" t="str">
            <v xml:space="preserve">       c.  Discharges</v>
          </cell>
          <cell r="B318">
            <v>0</v>
          </cell>
          <cell r="C318">
            <v>18</v>
          </cell>
          <cell r="D318">
            <v>0</v>
          </cell>
          <cell r="E318">
            <v>2</v>
          </cell>
          <cell r="F318">
            <v>0</v>
          </cell>
          <cell r="G318">
            <v>20</v>
          </cell>
          <cell r="I318" t="str">
            <v xml:space="preserve">       c.  Discharges</v>
          </cell>
          <cell r="J318">
            <v>0</v>
          </cell>
          <cell r="K318">
            <v>26</v>
          </cell>
          <cell r="L318">
            <v>0</v>
          </cell>
          <cell r="M318">
            <v>10</v>
          </cell>
          <cell r="N318">
            <v>0</v>
          </cell>
          <cell r="O318">
            <v>36</v>
          </cell>
          <cell r="Q318" t="str">
            <v xml:space="preserve">       c.  Discharges</v>
          </cell>
          <cell r="R318">
            <v>0</v>
          </cell>
          <cell r="S318">
            <v>13</v>
          </cell>
          <cell r="T318">
            <v>0</v>
          </cell>
          <cell r="U318">
            <v>2</v>
          </cell>
          <cell r="V318">
            <v>0</v>
          </cell>
          <cell r="W318">
            <v>15</v>
          </cell>
          <cell r="Y318" t="str">
            <v xml:space="preserve">       c.  Discharges</v>
          </cell>
          <cell r="Z318">
            <v>0</v>
          </cell>
          <cell r="AA318">
            <v>749</v>
          </cell>
          <cell r="AB318">
            <v>0</v>
          </cell>
          <cell r="AC318">
            <v>136</v>
          </cell>
          <cell r="AD318">
            <v>0</v>
          </cell>
          <cell r="AE318">
            <v>885</v>
          </cell>
          <cell r="AG318" t="str">
            <v xml:space="preserve">       c.  Discharges</v>
          </cell>
          <cell r="AH318">
            <v>0</v>
          </cell>
          <cell r="AI318">
            <v>119</v>
          </cell>
          <cell r="AJ318">
            <v>0</v>
          </cell>
          <cell r="AK318">
            <v>28</v>
          </cell>
          <cell r="AL318">
            <v>0</v>
          </cell>
          <cell r="AM318">
            <v>147</v>
          </cell>
          <cell r="AO318" t="str">
            <v xml:space="preserve">       c.  Discharges</v>
          </cell>
          <cell r="AP318">
            <v>0</v>
          </cell>
          <cell r="AQ318">
            <v>31</v>
          </cell>
          <cell r="AR318">
            <v>0</v>
          </cell>
          <cell r="AS318">
            <v>7</v>
          </cell>
          <cell r="AT318">
            <v>0</v>
          </cell>
          <cell r="AU318">
            <v>38</v>
          </cell>
          <cell r="AW318" t="str">
            <v xml:space="preserve">       c.  Discharges</v>
          </cell>
          <cell r="AX318">
            <v>0</v>
          </cell>
          <cell r="AY318">
            <v>113</v>
          </cell>
          <cell r="AZ318">
            <v>0</v>
          </cell>
          <cell r="BA318">
            <v>13</v>
          </cell>
          <cell r="BB318">
            <v>0</v>
          </cell>
          <cell r="BC318">
            <v>126</v>
          </cell>
        </row>
        <row r="319">
          <cell r="A319" t="str">
            <v xml:space="preserve">       d.  Discharge Days</v>
          </cell>
          <cell r="B319">
            <v>0</v>
          </cell>
          <cell r="C319">
            <v>76</v>
          </cell>
          <cell r="D319">
            <v>0</v>
          </cell>
          <cell r="E319">
            <v>11</v>
          </cell>
          <cell r="F319">
            <v>0</v>
          </cell>
          <cell r="G319">
            <v>87</v>
          </cell>
          <cell r="I319" t="str">
            <v xml:space="preserve">       d.  Discharge Days</v>
          </cell>
          <cell r="J319">
            <v>0</v>
          </cell>
          <cell r="K319">
            <v>131</v>
          </cell>
          <cell r="L319">
            <v>0</v>
          </cell>
          <cell r="M319">
            <v>58</v>
          </cell>
          <cell r="N319">
            <v>0</v>
          </cell>
          <cell r="O319">
            <v>189</v>
          </cell>
          <cell r="Q319" t="str">
            <v xml:space="preserve">       d.  Discharge Days</v>
          </cell>
          <cell r="R319">
            <v>0</v>
          </cell>
          <cell r="S319">
            <v>65</v>
          </cell>
          <cell r="T319">
            <v>0</v>
          </cell>
          <cell r="U319">
            <v>6</v>
          </cell>
          <cell r="V319">
            <v>0</v>
          </cell>
          <cell r="W319">
            <v>71</v>
          </cell>
          <cell r="Y319" t="str">
            <v xml:space="preserve">       d.  Discharge Days</v>
          </cell>
          <cell r="Z319">
            <v>0</v>
          </cell>
          <cell r="AA319">
            <v>3294</v>
          </cell>
          <cell r="AB319">
            <v>0</v>
          </cell>
          <cell r="AC319">
            <v>668</v>
          </cell>
          <cell r="AD319">
            <v>0</v>
          </cell>
          <cell r="AE319">
            <v>3962</v>
          </cell>
          <cell r="AG319" t="str">
            <v xml:space="preserve">       d.  Discharge Days</v>
          </cell>
          <cell r="AH319">
            <v>0</v>
          </cell>
          <cell r="AI319">
            <v>586</v>
          </cell>
          <cell r="AJ319">
            <v>0</v>
          </cell>
          <cell r="AK319">
            <v>142</v>
          </cell>
          <cell r="AL319">
            <v>0</v>
          </cell>
          <cell r="AM319">
            <v>728</v>
          </cell>
          <cell r="AO319" t="str">
            <v xml:space="preserve">       d.  Discharge Days</v>
          </cell>
          <cell r="AP319">
            <v>0</v>
          </cell>
          <cell r="AQ319">
            <v>128</v>
          </cell>
          <cell r="AR319">
            <v>0</v>
          </cell>
          <cell r="AS319">
            <v>33</v>
          </cell>
          <cell r="AT319">
            <v>0</v>
          </cell>
          <cell r="AU319">
            <v>161</v>
          </cell>
          <cell r="AW319" t="str">
            <v xml:space="preserve">       d.  Discharge Days</v>
          </cell>
          <cell r="AX319">
            <v>0</v>
          </cell>
          <cell r="AY319">
            <v>519</v>
          </cell>
          <cell r="AZ319">
            <v>0</v>
          </cell>
          <cell r="BA319">
            <v>48</v>
          </cell>
          <cell r="BB319">
            <v>0</v>
          </cell>
          <cell r="BC319">
            <v>567</v>
          </cell>
        </row>
        <row r="320">
          <cell r="A320" t="str">
            <v xml:space="preserve">       e.  Average Length of Stay</v>
          </cell>
          <cell r="B320">
            <v>0</v>
          </cell>
          <cell r="C320">
            <v>4.2222222222222223</v>
          </cell>
          <cell r="D320">
            <v>0</v>
          </cell>
          <cell r="E320">
            <v>5.5</v>
          </cell>
          <cell r="F320">
            <v>0</v>
          </cell>
          <cell r="G320">
            <v>4.3499999999999996</v>
          </cell>
          <cell r="I320" t="str">
            <v xml:space="preserve">       e.  Average Length of Stay</v>
          </cell>
          <cell r="J320">
            <v>0</v>
          </cell>
          <cell r="K320">
            <v>5.0384615384615383</v>
          </cell>
          <cell r="L320">
            <v>0</v>
          </cell>
          <cell r="M320">
            <v>5.8</v>
          </cell>
          <cell r="N320">
            <v>0</v>
          </cell>
          <cell r="O320">
            <v>5.25</v>
          </cell>
          <cell r="Q320" t="str">
            <v xml:space="preserve">       e.  Average Length of Stay</v>
          </cell>
          <cell r="R320">
            <v>0</v>
          </cell>
          <cell r="S320">
            <v>5</v>
          </cell>
          <cell r="T320">
            <v>0</v>
          </cell>
          <cell r="U320">
            <v>3</v>
          </cell>
          <cell r="V320">
            <v>0</v>
          </cell>
          <cell r="W320">
            <v>4.7333333333333334</v>
          </cell>
          <cell r="Y320" t="str">
            <v xml:space="preserve">       e.  Average Length of Stay</v>
          </cell>
          <cell r="Z320">
            <v>0</v>
          </cell>
          <cell r="AA320">
            <v>4.3978638184245664</v>
          </cell>
          <cell r="AB320">
            <v>0</v>
          </cell>
          <cell r="AC320">
            <v>4.9117647058823533</v>
          </cell>
          <cell r="AD320">
            <v>0</v>
          </cell>
          <cell r="AE320">
            <v>4.4768361581920901</v>
          </cell>
          <cell r="AG320" t="str">
            <v xml:space="preserve">       e.  Average Length of Stay</v>
          </cell>
          <cell r="AH320">
            <v>0</v>
          </cell>
          <cell r="AI320">
            <v>4.9243697478991599</v>
          </cell>
          <cell r="AJ320">
            <v>0</v>
          </cell>
          <cell r="AK320">
            <v>5.0714285714285712</v>
          </cell>
          <cell r="AL320">
            <v>0</v>
          </cell>
          <cell r="AM320">
            <v>4.9523809523809526</v>
          </cell>
          <cell r="AO320" t="str">
            <v xml:space="preserve">       e.  Average Length of Stay</v>
          </cell>
          <cell r="AP320">
            <v>0</v>
          </cell>
          <cell r="AQ320">
            <v>4.129032258064516</v>
          </cell>
          <cell r="AR320">
            <v>0</v>
          </cell>
          <cell r="AS320">
            <v>4.7142857142857144</v>
          </cell>
          <cell r="AT320">
            <v>0</v>
          </cell>
          <cell r="AU320">
            <v>4.2368421052631575</v>
          </cell>
          <cell r="AW320" t="str">
            <v xml:space="preserve">       e.  Average Length of Stay</v>
          </cell>
          <cell r="AX320">
            <v>0</v>
          </cell>
          <cell r="AY320">
            <v>4.5929203539823007</v>
          </cell>
          <cell r="AZ320">
            <v>0</v>
          </cell>
          <cell r="BA320">
            <v>3.6923076923076925</v>
          </cell>
          <cell r="BB320">
            <v>0</v>
          </cell>
          <cell r="BC320">
            <v>4.5</v>
          </cell>
        </row>
        <row r="322">
          <cell r="A322" t="str">
            <v>D.   Emergency Room Visits</v>
          </cell>
          <cell r="B322">
            <v>0</v>
          </cell>
          <cell r="C322">
            <v>8</v>
          </cell>
          <cell r="D322">
            <v>0</v>
          </cell>
          <cell r="E322">
            <v>3</v>
          </cell>
          <cell r="F322">
            <v>0</v>
          </cell>
          <cell r="G322">
            <v>11</v>
          </cell>
          <cell r="I322" t="str">
            <v>D.   Emergency Room Visits</v>
          </cell>
          <cell r="J322">
            <v>0</v>
          </cell>
          <cell r="K322">
            <v>18</v>
          </cell>
          <cell r="L322">
            <v>0</v>
          </cell>
          <cell r="M322">
            <v>10</v>
          </cell>
          <cell r="N322">
            <v>0</v>
          </cell>
          <cell r="O322">
            <v>28</v>
          </cell>
          <cell r="Q322" t="str">
            <v>D.   Emergency Room Visits</v>
          </cell>
          <cell r="R322">
            <v>0</v>
          </cell>
          <cell r="S322">
            <v>9</v>
          </cell>
          <cell r="T322">
            <v>0</v>
          </cell>
          <cell r="U322">
            <v>1</v>
          </cell>
          <cell r="V322">
            <v>0</v>
          </cell>
          <cell r="W322">
            <v>10</v>
          </cell>
          <cell r="Y322" t="str">
            <v>D.   Emergency Room Visits</v>
          </cell>
          <cell r="Z322">
            <v>0</v>
          </cell>
          <cell r="AA322">
            <v>247</v>
          </cell>
          <cell r="AB322">
            <v>0</v>
          </cell>
          <cell r="AC322">
            <v>131</v>
          </cell>
          <cell r="AD322">
            <v>0</v>
          </cell>
          <cell r="AE322">
            <v>378</v>
          </cell>
          <cell r="AG322" t="str">
            <v>D.   Emergency Room Visits</v>
          </cell>
          <cell r="AH322">
            <v>0</v>
          </cell>
          <cell r="AI322">
            <v>102</v>
          </cell>
          <cell r="AJ322">
            <v>0</v>
          </cell>
          <cell r="AK322">
            <v>32</v>
          </cell>
          <cell r="AL322">
            <v>0</v>
          </cell>
          <cell r="AM322">
            <v>134</v>
          </cell>
          <cell r="AO322" t="str">
            <v>D.   Emergency Room Visits</v>
          </cell>
          <cell r="AP322">
            <v>0</v>
          </cell>
          <cell r="AQ322">
            <v>27</v>
          </cell>
          <cell r="AR322">
            <v>0</v>
          </cell>
          <cell r="AS322">
            <v>12</v>
          </cell>
          <cell r="AT322">
            <v>0</v>
          </cell>
          <cell r="AU322">
            <v>39</v>
          </cell>
          <cell r="AW322" t="str">
            <v>D.   Emergency Room Visits</v>
          </cell>
          <cell r="AX322">
            <v>0</v>
          </cell>
          <cell r="AY322">
            <v>43</v>
          </cell>
          <cell r="AZ322">
            <v>0</v>
          </cell>
          <cell r="BA322">
            <v>10</v>
          </cell>
          <cell r="BB322">
            <v>0</v>
          </cell>
          <cell r="BC322">
            <v>53</v>
          </cell>
        </row>
        <row r="326">
          <cell r="A326" t="str">
            <v>Program Contractor Financial Reporting Systems - Report #11A Utilization Data Report by County</v>
          </cell>
          <cell r="I326" t="str">
            <v>Program Contractor Financial Reporting Systems - Report #11A Utilization Data Report by County</v>
          </cell>
          <cell r="Q326" t="str">
            <v>Program Contractor Financial Reporting Systems - Report #11A Utilization Data Report by County</v>
          </cell>
          <cell r="Y326" t="str">
            <v>Program Contractor Financial Reporting Systems - Report #11A Utilization Data Report by County</v>
          </cell>
          <cell r="AG326" t="str">
            <v>Program Contractor Financial Reporting Systems - Report #11A Utilization Data Report by County</v>
          </cell>
          <cell r="AO326" t="str">
            <v>Program Contractor Financial Reporting Systems - Report #11A Utilization Data Report by County</v>
          </cell>
          <cell r="AW326" t="str">
            <v>Program Contractor Financial Reporting Systems - Report #11A Utilization Data Report by County</v>
          </cell>
        </row>
        <row r="328">
          <cell r="A328" t="str">
            <v>Statement for Program Contractor 110049 - Evercare of Arizona, Inc.</v>
          </cell>
          <cell r="F328" t="str">
            <v>County:</v>
          </cell>
          <cell r="G328" t="str">
            <v>Apache</v>
          </cell>
          <cell r="I328" t="str">
            <v>Statement for Program Contractor 110049 - Evercare of Arizona, Inc.</v>
          </cell>
          <cell r="N328" t="str">
            <v>County:</v>
          </cell>
          <cell r="O328" t="str">
            <v>Coconino</v>
          </cell>
          <cell r="Q328" t="str">
            <v>Statement for Program Contractor 110049 - Evercare of Arizona, Inc.</v>
          </cell>
          <cell r="V328" t="str">
            <v>County:</v>
          </cell>
          <cell r="W328" t="str">
            <v>La Paz</v>
          </cell>
          <cell r="Y328" t="str">
            <v>Statement for Program Contractor 110049 - Evercare of Arizona, Inc.</v>
          </cell>
          <cell r="AD328" t="str">
            <v>County:</v>
          </cell>
          <cell r="AE328" t="str">
            <v>Maricopa</v>
          </cell>
          <cell r="AG328" t="str">
            <v>Statement for Program Contractor 110049 - Evercare of Arizona, Inc.</v>
          </cell>
          <cell r="AL328" t="str">
            <v>County:</v>
          </cell>
          <cell r="AM328" t="str">
            <v>Mohave</v>
          </cell>
          <cell r="AO328" t="str">
            <v>Statement for Program Contractor 110049 - Evercare of Arizona, Inc.</v>
          </cell>
          <cell r="AT328" t="str">
            <v>County:</v>
          </cell>
          <cell r="AU328" t="str">
            <v>Navajo</v>
          </cell>
          <cell r="AW328" t="str">
            <v>Statement for Program Contractor 110049 - Evercare of Arizona, Inc.</v>
          </cell>
          <cell r="BB328" t="str">
            <v>County:</v>
          </cell>
          <cell r="BC328" t="str">
            <v>Yuma</v>
          </cell>
        </row>
        <row r="330">
          <cell r="A330" t="str">
            <v>For the Month ending 5/31/2006 in the Fiscal Year ending 9/30/2006</v>
          </cell>
          <cell r="F330" t="str">
            <v>Page 2 of 21</v>
          </cell>
          <cell r="I330" t="str">
            <v>For the Month ending 5/31/2006 in the Fiscal Year ending 9/30/2006</v>
          </cell>
          <cell r="N330" t="str">
            <v>Page 5 of 21</v>
          </cell>
          <cell r="Q330" t="str">
            <v>For the Month ending 5/31/2006 in the Fiscal Year ending 9/30/2006</v>
          </cell>
          <cell r="V330" t="str">
            <v>Page 8 of 21</v>
          </cell>
          <cell r="Y330" t="str">
            <v>For the Month ending 5/31/2006 in the Fiscal Year ending 9/30/2006</v>
          </cell>
          <cell r="AD330" t="str">
            <v>Page 11 of 21</v>
          </cell>
          <cell r="AG330" t="str">
            <v>For the Month ending 5/31/2006 in the Fiscal Year ending 9/30/2006</v>
          </cell>
          <cell r="AL330" t="str">
            <v>Page 14 of 21</v>
          </cell>
          <cell r="AO330" t="str">
            <v>For the Month ending 5/31/2006 in the Fiscal Year ending 9/30/2006</v>
          </cell>
          <cell r="AT330" t="str">
            <v>Page 17 of 21</v>
          </cell>
          <cell r="AW330" t="str">
            <v>For the Month ending 5/31/2006 in the Fiscal Year ending 9/30/2006</v>
          </cell>
          <cell r="BB330" t="str">
            <v>Page 20 of 21</v>
          </cell>
        </row>
        <row r="333">
          <cell r="A333" t="str">
            <v>Utilization Data Report by County</v>
          </cell>
          <cell r="I333" t="str">
            <v>Utilization Data Report by County</v>
          </cell>
          <cell r="Q333" t="str">
            <v>Utilization Data Report by County</v>
          </cell>
          <cell r="Y333" t="str">
            <v>Utilization Data Report by County</v>
          </cell>
          <cell r="AG333" t="str">
            <v>Utilization Data Report by County</v>
          </cell>
          <cell r="AO333" t="str">
            <v>Utilization Data Report by County</v>
          </cell>
          <cell r="AW333" t="str">
            <v>Utilization Data Report by County</v>
          </cell>
        </row>
        <row r="335">
          <cell r="B335" t="str">
            <v>MEDICARE</v>
          </cell>
          <cell r="D335" t="str">
            <v>NON-MEDICARE</v>
          </cell>
          <cell r="F335" t="str">
            <v>TOTAL</v>
          </cell>
          <cell r="J335" t="str">
            <v>MEDICARE</v>
          </cell>
          <cell r="L335" t="str">
            <v>NON-MEDICARE</v>
          </cell>
          <cell r="N335" t="str">
            <v>TOTAL</v>
          </cell>
          <cell r="R335" t="str">
            <v>MEDICARE</v>
          </cell>
          <cell r="T335" t="str">
            <v>NON-MEDICARE</v>
          </cell>
          <cell r="V335" t="str">
            <v>TOTAL</v>
          </cell>
          <cell r="Z335" t="str">
            <v>MEDICARE</v>
          </cell>
          <cell r="AB335" t="str">
            <v>NON-MEDICARE</v>
          </cell>
          <cell r="AD335" t="str">
            <v>TOTAL</v>
          </cell>
          <cell r="AH335" t="str">
            <v>MEDICARE</v>
          </cell>
          <cell r="AJ335" t="str">
            <v>NON-MEDICARE</v>
          </cell>
          <cell r="AL335" t="str">
            <v>TOTAL</v>
          </cell>
          <cell r="AP335" t="str">
            <v>MEDICARE</v>
          </cell>
          <cell r="AR335" t="str">
            <v>NON-MEDICARE</v>
          </cell>
          <cell r="AT335" t="str">
            <v>TOTAL</v>
          </cell>
          <cell r="AX335" t="str">
            <v>MEDICARE</v>
          </cell>
          <cell r="AZ335" t="str">
            <v>NON-MEDICARE</v>
          </cell>
          <cell r="BB335" t="str">
            <v>TOTAL</v>
          </cell>
        </row>
        <row r="336">
          <cell r="A336" t="str">
            <v>ITEM DESCRIPTION</v>
          </cell>
          <cell r="B336" t="str">
            <v>Current</v>
          </cell>
          <cell r="D336" t="str">
            <v>Current</v>
          </cell>
          <cell r="F336" t="str">
            <v>Current</v>
          </cell>
          <cell r="I336" t="str">
            <v>ITEM DESCRIPTION</v>
          </cell>
          <cell r="J336" t="str">
            <v>Current</v>
          </cell>
          <cell r="L336" t="str">
            <v>Current</v>
          </cell>
          <cell r="N336" t="str">
            <v>Current</v>
          </cell>
          <cell r="Q336" t="str">
            <v>ITEM DESCRIPTION</v>
          </cell>
          <cell r="R336" t="str">
            <v>Current</v>
          </cell>
          <cell r="T336" t="str">
            <v>Current</v>
          </cell>
          <cell r="V336" t="str">
            <v>Current</v>
          </cell>
          <cell r="Y336" t="str">
            <v>ITEM DESCRIPTION</v>
          </cell>
          <cell r="Z336" t="str">
            <v>Current</v>
          </cell>
          <cell r="AB336" t="str">
            <v>Current</v>
          </cell>
          <cell r="AD336" t="str">
            <v>Current</v>
          </cell>
          <cell r="AG336" t="str">
            <v>ITEM DESCRIPTION</v>
          </cell>
          <cell r="AH336" t="str">
            <v>Current</v>
          </cell>
          <cell r="AJ336" t="str">
            <v>Current</v>
          </cell>
          <cell r="AL336" t="str">
            <v>Current</v>
          </cell>
          <cell r="AO336" t="str">
            <v>ITEM DESCRIPTION</v>
          </cell>
          <cell r="AP336" t="str">
            <v>Current</v>
          </cell>
          <cell r="AR336" t="str">
            <v>Current</v>
          </cell>
          <cell r="AT336" t="str">
            <v>Current</v>
          </cell>
          <cell r="AW336" t="str">
            <v>ITEM DESCRIPTION</v>
          </cell>
          <cell r="AX336" t="str">
            <v>Current</v>
          </cell>
          <cell r="AZ336" t="str">
            <v>Current</v>
          </cell>
          <cell r="BB336" t="str">
            <v>Current</v>
          </cell>
        </row>
        <row r="337">
          <cell r="B337" t="str">
            <v>Period</v>
          </cell>
          <cell r="C337" t="str">
            <v>YTD</v>
          </cell>
          <cell r="D337" t="str">
            <v>Period</v>
          </cell>
          <cell r="E337" t="str">
            <v>YTD</v>
          </cell>
          <cell r="F337" t="str">
            <v>Period</v>
          </cell>
          <cell r="G337" t="str">
            <v>YTD</v>
          </cell>
          <cell r="J337" t="str">
            <v>Period</v>
          </cell>
          <cell r="K337" t="str">
            <v>YTD</v>
          </cell>
          <cell r="L337" t="str">
            <v>Period</v>
          </cell>
          <cell r="M337" t="str">
            <v>YTD</v>
          </cell>
          <cell r="N337" t="str">
            <v>Period</v>
          </cell>
          <cell r="O337" t="str">
            <v>YTD</v>
          </cell>
          <cell r="R337" t="str">
            <v>Period</v>
          </cell>
          <cell r="S337" t="str">
            <v>YTD</v>
          </cell>
          <cell r="T337" t="str">
            <v>Period</v>
          </cell>
          <cell r="U337" t="str">
            <v>YTD</v>
          </cell>
          <cell r="V337" t="str">
            <v>Period</v>
          </cell>
          <cell r="W337" t="str">
            <v>YTD</v>
          </cell>
          <cell r="Z337" t="str">
            <v>Period</v>
          </cell>
          <cell r="AA337" t="str">
            <v>YTD</v>
          </cell>
          <cell r="AB337" t="str">
            <v>Period</v>
          </cell>
          <cell r="AC337" t="str">
            <v>YTD</v>
          </cell>
          <cell r="AD337" t="str">
            <v>Period</v>
          </cell>
          <cell r="AE337" t="str">
            <v>YTD</v>
          </cell>
          <cell r="AH337" t="str">
            <v>Period</v>
          </cell>
          <cell r="AI337" t="str">
            <v>YTD</v>
          </cell>
          <cell r="AJ337" t="str">
            <v>Period</v>
          </cell>
          <cell r="AK337" t="str">
            <v>YTD</v>
          </cell>
          <cell r="AL337" t="str">
            <v>Period</v>
          </cell>
          <cell r="AM337" t="str">
            <v>YTD</v>
          </cell>
          <cell r="AP337" t="str">
            <v>Period</v>
          </cell>
          <cell r="AQ337" t="str">
            <v>YTD</v>
          </cell>
          <cell r="AR337" t="str">
            <v>Period</v>
          </cell>
          <cell r="AS337" t="str">
            <v>YTD</v>
          </cell>
          <cell r="AT337" t="str">
            <v>Period</v>
          </cell>
          <cell r="AU337" t="str">
            <v>YTD</v>
          </cell>
          <cell r="AX337" t="str">
            <v>Period</v>
          </cell>
          <cell r="AY337" t="str">
            <v>YTD</v>
          </cell>
          <cell r="AZ337" t="str">
            <v>Period</v>
          </cell>
          <cell r="BA337" t="str">
            <v>YTD</v>
          </cell>
          <cell r="BB337" t="str">
            <v>Period</v>
          </cell>
          <cell r="BC337" t="str">
            <v>YTD</v>
          </cell>
        </row>
        <row r="338">
          <cell r="A338" t="str">
            <v>A.   Enrollees (At End of Period)</v>
          </cell>
          <cell r="B338">
            <v>0</v>
          </cell>
          <cell r="D338">
            <v>0</v>
          </cell>
          <cell r="F338">
            <v>0</v>
          </cell>
          <cell r="I338" t="str">
            <v>A.   Enrollees (At End of Period)</v>
          </cell>
          <cell r="J338">
            <v>0</v>
          </cell>
          <cell r="L338">
            <v>0</v>
          </cell>
          <cell r="N338">
            <v>0</v>
          </cell>
          <cell r="Q338" t="str">
            <v>A.   Enrollees (At End of Period)</v>
          </cell>
          <cell r="R338">
            <v>0</v>
          </cell>
          <cell r="T338">
            <v>0</v>
          </cell>
          <cell r="V338">
            <v>0</v>
          </cell>
          <cell r="Y338" t="str">
            <v>A.   Enrollees (At End of Period)</v>
          </cell>
          <cell r="Z338">
            <v>0</v>
          </cell>
          <cell r="AB338">
            <v>0</v>
          </cell>
          <cell r="AD338">
            <v>0</v>
          </cell>
          <cell r="AG338" t="str">
            <v>A.   Enrollees (At End of Period)</v>
          </cell>
          <cell r="AH338">
            <v>0</v>
          </cell>
          <cell r="AJ338">
            <v>0</v>
          </cell>
          <cell r="AL338">
            <v>0</v>
          </cell>
          <cell r="AO338" t="str">
            <v>A.   Enrollees (At End of Period)</v>
          </cell>
          <cell r="AP338">
            <v>0</v>
          </cell>
          <cell r="AR338">
            <v>0</v>
          </cell>
          <cell r="AT338">
            <v>0</v>
          </cell>
          <cell r="AW338" t="str">
            <v>A.   Enrollees (At End of Period)</v>
          </cell>
          <cell r="AX338">
            <v>0</v>
          </cell>
          <cell r="AZ338">
            <v>0</v>
          </cell>
          <cell r="BB338">
            <v>0</v>
          </cell>
        </row>
        <row r="340">
          <cell r="A340" t="str">
            <v>B.   Member Months (Unduplicated)</v>
          </cell>
          <cell r="B340">
            <v>0</v>
          </cell>
          <cell r="C340">
            <v>190.88669999999996</v>
          </cell>
          <cell r="D340">
            <v>0</v>
          </cell>
          <cell r="E340">
            <v>54.75</v>
          </cell>
          <cell r="F340">
            <v>0</v>
          </cell>
          <cell r="G340">
            <v>245.63669999999996</v>
          </cell>
          <cell r="I340" t="str">
            <v>B.   Member Months (Unduplicated)</v>
          </cell>
          <cell r="J340">
            <v>0</v>
          </cell>
          <cell r="K340">
            <v>513.7274000000001</v>
          </cell>
          <cell r="L340">
            <v>0</v>
          </cell>
          <cell r="M340">
            <v>110.61330000000001</v>
          </cell>
          <cell r="N340">
            <v>0</v>
          </cell>
          <cell r="O340">
            <v>624.34070000000008</v>
          </cell>
          <cell r="Q340" t="str">
            <v>B.   Member Months (Unduplicated)</v>
          </cell>
          <cell r="R340">
            <v>0</v>
          </cell>
          <cell r="S340">
            <v>222.08120000000002</v>
          </cell>
          <cell r="T340">
            <v>0</v>
          </cell>
          <cell r="U340">
            <v>17.07</v>
          </cell>
          <cell r="V340">
            <v>0</v>
          </cell>
          <cell r="W340">
            <v>239.15120000000002</v>
          </cell>
          <cell r="Y340" t="str">
            <v>B.   Member Months (Unduplicated)</v>
          </cell>
          <cell r="Z340">
            <v>0</v>
          </cell>
          <cell r="AA340">
            <v>13367.081800000002</v>
          </cell>
          <cell r="AB340">
            <v>0</v>
          </cell>
          <cell r="AC340">
            <v>1964.4491000000003</v>
          </cell>
          <cell r="AD340">
            <v>0</v>
          </cell>
          <cell r="AE340">
            <v>15331.530900000002</v>
          </cell>
          <cell r="AG340" t="str">
            <v>B.   Member Months (Unduplicated)</v>
          </cell>
          <cell r="AH340">
            <v>0</v>
          </cell>
          <cell r="AI340">
            <v>2465.0030999999999</v>
          </cell>
          <cell r="AJ340">
            <v>0</v>
          </cell>
          <cell r="AK340">
            <v>338.37329999999997</v>
          </cell>
          <cell r="AL340">
            <v>0</v>
          </cell>
          <cell r="AM340">
            <v>2803.3764000000001</v>
          </cell>
          <cell r="AO340" t="str">
            <v>B.   Member Months (Unduplicated)</v>
          </cell>
          <cell r="AP340">
            <v>0</v>
          </cell>
          <cell r="AQ340">
            <v>588.85000000000014</v>
          </cell>
          <cell r="AR340">
            <v>0</v>
          </cell>
          <cell r="AS340">
            <v>145.74229999999997</v>
          </cell>
          <cell r="AT340">
            <v>0</v>
          </cell>
          <cell r="AU340">
            <v>734.59230000000014</v>
          </cell>
          <cell r="AW340" t="str">
            <v>B.   Member Months (Unduplicated)</v>
          </cell>
          <cell r="AX340">
            <v>0</v>
          </cell>
          <cell r="AY340">
            <v>1674.2218</v>
          </cell>
          <cell r="AZ340">
            <v>0</v>
          </cell>
          <cell r="BA340">
            <v>331.96999999999997</v>
          </cell>
          <cell r="BB340">
            <v>0</v>
          </cell>
          <cell r="BC340">
            <v>2006.1918000000001</v>
          </cell>
        </row>
        <row r="341">
          <cell r="A341" t="str">
            <v xml:space="preserve">   Institutional Member Months Total</v>
          </cell>
          <cell r="B341">
            <v>0</v>
          </cell>
          <cell r="C341">
            <v>15.7</v>
          </cell>
          <cell r="D341">
            <v>0</v>
          </cell>
          <cell r="E341">
            <v>11.14</v>
          </cell>
          <cell r="F341">
            <v>0</v>
          </cell>
          <cell r="G341">
            <v>26.84</v>
          </cell>
          <cell r="I341" t="str">
            <v xml:space="preserve">   Institutional Member Months Total</v>
          </cell>
          <cell r="J341">
            <v>0</v>
          </cell>
          <cell r="K341">
            <v>190.48</v>
          </cell>
          <cell r="L341">
            <v>0</v>
          </cell>
          <cell r="M341">
            <v>12.73</v>
          </cell>
          <cell r="N341">
            <v>0</v>
          </cell>
          <cell r="O341">
            <v>203.20999999999998</v>
          </cell>
          <cell r="Q341" t="str">
            <v xml:space="preserve">   Institutional Member Months Total</v>
          </cell>
          <cell r="R341">
            <v>0</v>
          </cell>
          <cell r="S341">
            <v>122.66999999999999</v>
          </cell>
          <cell r="T341">
            <v>0</v>
          </cell>
          <cell r="U341">
            <v>3</v>
          </cell>
          <cell r="V341">
            <v>0</v>
          </cell>
          <cell r="W341">
            <v>125.66999999999999</v>
          </cell>
          <cell r="Y341" t="str">
            <v xml:space="preserve">   Institutional Member Months Total</v>
          </cell>
          <cell r="Z341">
            <v>0</v>
          </cell>
          <cell r="AA341">
            <v>5378.2800000000007</v>
          </cell>
          <cell r="AB341">
            <v>0</v>
          </cell>
          <cell r="AC341">
            <v>460.42000000000007</v>
          </cell>
          <cell r="AD341">
            <v>0</v>
          </cell>
          <cell r="AE341">
            <v>5838.7000000000007</v>
          </cell>
          <cell r="AG341" t="str">
            <v xml:space="preserve">   Institutional Member Months Total</v>
          </cell>
          <cell r="AH341">
            <v>0</v>
          </cell>
          <cell r="AI341">
            <v>1342.8</v>
          </cell>
          <cell r="AJ341">
            <v>0</v>
          </cell>
          <cell r="AK341">
            <v>92.289999999999992</v>
          </cell>
          <cell r="AL341">
            <v>0</v>
          </cell>
          <cell r="AM341">
            <v>1435.09</v>
          </cell>
          <cell r="AO341" t="str">
            <v xml:space="preserve">   Institutional Member Months Total</v>
          </cell>
          <cell r="AP341">
            <v>0</v>
          </cell>
          <cell r="AQ341">
            <v>111.26</v>
          </cell>
          <cell r="AR341">
            <v>0</v>
          </cell>
          <cell r="AS341">
            <v>25.259999999999998</v>
          </cell>
          <cell r="AT341">
            <v>0</v>
          </cell>
          <cell r="AU341">
            <v>136.52000000000001</v>
          </cell>
          <cell r="AW341" t="str">
            <v xml:space="preserve">   Institutional Member Months Total</v>
          </cell>
          <cell r="AX341">
            <v>0</v>
          </cell>
          <cell r="AY341">
            <v>878.52</v>
          </cell>
          <cell r="AZ341">
            <v>0</v>
          </cell>
          <cell r="BA341">
            <v>113.56</v>
          </cell>
          <cell r="BB341">
            <v>0</v>
          </cell>
          <cell r="BC341">
            <v>992.07999999999993</v>
          </cell>
        </row>
        <row r="342">
          <cell r="A342" t="str">
            <v xml:space="preserve">   1.  Level I</v>
          </cell>
          <cell r="B342">
            <v>0</v>
          </cell>
          <cell r="C342">
            <v>6.81</v>
          </cell>
          <cell r="D342">
            <v>0</v>
          </cell>
          <cell r="E342">
            <v>8.14</v>
          </cell>
          <cell r="F342">
            <v>0</v>
          </cell>
          <cell r="G342">
            <v>14.95</v>
          </cell>
          <cell r="I342" t="str">
            <v xml:space="preserve">   1.  Level I</v>
          </cell>
          <cell r="J342">
            <v>0</v>
          </cell>
          <cell r="K342">
            <v>86.49</v>
          </cell>
          <cell r="L342">
            <v>0</v>
          </cell>
          <cell r="M342">
            <v>8.23</v>
          </cell>
          <cell r="N342">
            <v>0</v>
          </cell>
          <cell r="O342">
            <v>94.72</v>
          </cell>
          <cell r="Q342" t="str">
            <v xml:space="preserve">   1.  Level I</v>
          </cell>
          <cell r="R342">
            <v>0</v>
          </cell>
          <cell r="S342">
            <v>78.349999999999994</v>
          </cell>
          <cell r="T342">
            <v>0</v>
          </cell>
          <cell r="U342">
            <v>0</v>
          </cell>
          <cell r="V342">
            <v>0</v>
          </cell>
          <cell r="W342">
            <v>78.349999999999994</v>
          </cell>
          <cell r="Y342" t="str">
            <v xml:space="preserve">   1.  Level I</v>
          </cell>
          <cell r="Z342">
            <v>0</v>
          </cell>
          <cell r="AA342">
            <v>3650.05</v>
          </cell>
          <cell r="AB342">
            <v>0</v>
          </cell>
          <cell r="AC342">
            <v>288.17</v>
          </cell>
          <cell r="AD342">
            <v>0</v>
          </cell>
          <cell r="AE342">
            <v>3938.2200000000003</v>
          </cell>
          <cell r="AG342" t="str">
            <v xml:space="preserve">   1.  Level I</v>
          </cell>
          <cell r="AH342">
            <v>0</v>
          </cell>
          <cell r="AI342">
            <v>607.04999999999995</v>
          </cell>
          <cell r="AJ342">
            <v>0</v>
          </cell>
          <cell r="AK342">
            <v>46.1</v>
          </cell>
          <cell r="AL342">
            <v>0</v>
          </cell>
          <cell r="AM342">
            <v>653.15</v>
          </cell>
          <cell r="AO342" t="str">
            <v xml:space="preserve">   1.  Level I</v>
          </cell>
          <cell r="AP342">
            <v>0</v>
          </cell>
          <cell r="AQ342">
            <v>64.41</v>
          </cell>
          <cell r="AR342">
            <v>0</v>
          </cell>
          <cell r="AS342">
            <v>22.259999999999998</v>
          </cell>
          <cell r="AT342">
            <v>0</v>
          </cell>
          <cell r="AU342">
            <v>86.669999999999987</v>
          </cell>
          <cell r="AW342" t="str">
            <v xml:space="preserve">   1.  Level I</v>
          </cell>
          <cell r="AX342">
            <v>0</v>
          </cell>
          <cell r="AY342">
            <v>471.98</v>
          </cell>
          <cell r="AZ342">
            <v>0</v>
          </cell>
          <cell r="BA342">
            <v>69.94</v>
          </cell>
          <cell r="BB342">
            <v>0</v>
          </cell>
          <cell r="BC342">
            <v>541.92000000000007</v>
          </cell>
        </row>
        <row r="343">
          <cell r="A343" t="str">
            <v xml:space="preserve">   2.  Level II</v>
          </cell>
          <cell r="B343">
            <v>0</v>
          </cell>
          <cell r="C343">
            <v>6.73</v>
          </cell>
          <cell r="D343">
            <v>0</v>
          </cell>
          <cell r="E343">
            <v>3</v>
          </cell>
          <cell r="F343">
            <v>0</v>
          </cell>
          <cell r="G343">
            <v>9.73</v>
          </cell>
          <cell r="I343" t="str">
            <v xml:space="preserve">   2.  Level II</v>
          </cell>
          <cell r="J343">
            <v>0</v>
          </cell>
          <cell r="K343">
            <v>87.8</v>
          </cell>
          <cell r="L343">
            <v>0</v>
          </cell>
          <cell r="M343">
            <v>3</v>
          </cell>
          <cell r="N343">
            <v>0</v>
          </cell>
          <cell r="O343">
            <v>90.8</v>
          </cell>
          <cell r="Q343" t="str">
            <v xml:space="preserve">   2.  Level II</v>
          </cell>
          <cell r="R343">
            <v>0</v>
          </cell>
          <cell r="S343">
            <v>37.57</v>
          </cell>
          <cell r="T343">
            <v>0</v>
          </cell>
          <cell r="U343">
            <v>3</v>
          </cell>
          <cell r="V343">
            <v>0</v>
          </cell>
          <cell r="W343">
            <v>40.57</v>
          </cell>
          <cell r="Y343" t="str">
            <v xml:space="preserve">   2.  Level II</v>
          </cell>
          <cell r="Z343">
            <v>0</v>
          </cell>
          <cell r="AA343">
            <v>1526.49</v>
          </cell>
          <cell r="AB343">
            <v>0</v>
          </cell>
          <cell r="AC343">
            <v>127.19</v>
          </cell>
          <cell r="AD343">
            <v>0</v>
          </cell>
          <cell r="AE343">
            <v>1653.68</v>
          </cell>
          <cell r="AG343" t="str">
            <v xml:space="preserve">   2.  Level II</v>
          </cell>
          <cell r="AH343">
            <v>0</v>
          </cell>
          <cell r="AI343">
            <v>602.55999999999995</v>
          </cell>
          <cell r="AJ343">
            <v>0</v>
          </cell>
          <cell r="AK343">
            <v>28.279999999999998</v>
          </cell>
          <cell r="AL343">
            <v>0</v>
          </cell>
          <cell r="AM343">
            <v>630.83999999999992</v>
          </cell>
          <cell r="AO343" t="str">
            <v xml:space="preserve">   2.  Level II</v>
          </cell>
          <cell r="AP343">
            <v>0</v>
          </cell>
          <cell r="AQ343">
            <v>39.450000000000003</v>
          </cell>
          <cell r="AR343">
            <v>0</v>
          </cell>
          <cell r="AS343">
            <v>3</v>
          </cell>
          <cell r="AT343">
            <v>0</v>
          </cell>
          <cell r="AU343">
            <v>42.45</v>
          </cell>
          <cell r="AW343" t="str">
            <v xml:space="preserve">   2.  Level II</v>
          </cell>
          <cell r="AX343">
            <v>0</v>
          </cell>
          <cell r="AY343">
            <v>357.26</v>
          </cell>
          <cell r="AZ343">
            <v>0</v>
          </cell>
          <cell r="BA343">
            <v>27.619999999999997</v>
          </cell>
          <cell r="BB343">
            <v>0</v>
          </cell>
          <cell r="BC343">
            <v>384.88</v>
          </cell>
        </row>
        <row r="344">
          <cell r="A344" t="str">
            <v xml:space="preserve">   3.  Level III</v>
          </cell>
          <cell r="B344">
            <v>0</v>
          </cell>
          <cell r="C344">
            <v>2.16</v>
          </cell>
          <cell r="D344">
            <v>0</v>
          </cell>
          <cell r="E344">
            <v>0</v>
          </cell>
          <cell r="F344">
            <v>0</v>
          </cell>
          <cell r="G344">
            <v>2.16</v>
          </cell>
          <cell r="I344" t="str">
            <v xml:space="preserve">   3.  Level III</v>
          </cell>
          <cell r="J344">
            <v>0</v>
          </cell>
          <cell r="K344">
            <v>16.190000000000001</v>
          </cell>
          <cell r="L344">
            <v>0</v>
          </cell>
          <cell r="M344">
            <v>1.5</v>
          </cell>
          <cell r="N344">
            <v>0</v>
          </cell>
          <cell r="O344">
            <v>17.690000000000001</v>
          </cell>
          <cell r="Q344" t="str">
            <v xml:space="preserve">   3.  Level III</v>
          </cell>
          <cell r="R344">
            <v>0</v>
          </cell>
          <cell r="S344">
            <v>6.75</v>
          </cell>
          <cell r="T344">
            <v>0</v>
          </cell>
          <cell r="U344">
            <v>0</v>
          </cell>
          <cell r="V344">
            <v>0</v>
          </cell>
          <cell r="W344">
            <v>6.75</v>
          </cell>
          <cell r="Y344" t="str">
            <v xml:space="preserve">   3.  Level III</v>
          </cell>
          <cell r="Z344">
            <v>0</v>
          </cell>
          <cell r="AA344">
            <v>200.77</v>
          </cell>
          <cell r="AB344">
            <v>0</v>
          </cell>
          <cell r="AC344">
            <v>31.090000000000003</v>
          </cell>
          <cell r="AD344">
            <v>0</v>
          </cell>
          <cell r="AE344">
            <v>231.86</v>
          </cell>
          <cell r="AG344" t="str">
            <v xml:space="preserve">   3.  Level III</v>
          </cell>
          <cell r="AH344">
            <v>0</v>
          </cell>
          <cell r="AI344">
            <v>133.19</v>
          </cell>
          <cell r="AJ344">
            <v>0</v>
          </cell>
          <cell r="AK344">
            <v>17.91</v>
          </cell>
          <cell r="AL344">
            <v>0</v>
          </cell>
          <cell r="AM344">
            <v>151.1</v>
          </cell>
          <cell r="AO344" t="str">
            <v xml:space="preserve">   3.  Level III</v>
          </cell>
          <cell r="AP344">
            <v>0</v>
          </cell>
          <cell r="AQ344">
            <v>0.4</v>
          </cell>
          <cell r="AR344">
            <v>0</v>
          </cell>
          <cell r="AS344">
            <v>0</v>
          </cell>
          <cell r="AT344">
            <v>0</v>
          </cell>
          <cell r="AU344">
            <v>0.4</v>
          </cell>
          <cell r="AW344" t="str">
            <v xml:space="preserve">   3.  Level III</v>
          </cell>
          <cell r="AX344">
            <v>0</v>
          </cell>
          <cell r="AY344">
            <v>49.28</v>
          </cell>
          <cell r="AZ344">
            <v>0</v>
          </cell>
          <cell r="BA344">
            <v>16</v>
          </cell>
          <cell r="BB344">
            <v>0</v>
          </cell>
          <cell r="BC344">
            <v>65.28</v>
          </cell>
        </row>
        <row r="345">
          <cell r="A345" t="str">
            <v xml:space="preserve">   4.  Level IV</v>
          </cell>
          <cell r="B345">
            <v>0</v>
          </cell>
          <cell r="C345">
            <v>0</v>
          </cell>
          <cell r="D345">
            <v>0</v>
          </cell>
          <cell r="E345">
            <v>0</v>
          </cell>
          <cell r="F345">
            <v>0</v>
          </cell>
          <cell r="G345">
            <v>0</v>
          </cell>
          <cell r="I345" t="str">
            <v xml:space="preserve">   4.  Level IV</v>
          </cell>
          <cell r="J345">
            <v>0</v>
          </cell>
          <cell r="K345">
            <v>0</v>
          </cell>
          <cell r="L345">
            <v>0</v>
          </cell>
          <cell r="M345">
            <v>0</v>
          </cell>
          <cell r="N345">
            <v>0</v>
          </cell>
          <cell r="O345">
            <v>0</v>
          </cell>
          <cell r="Q345" t="str">
            <v xml:space="preserve">   4.  Level IV</v>
          </cell>
          <cell r="R345">
            <v>0</v>
          </cell>
          <cell r="S345">
            <v>0</v>
          </cell>
          <cell r="T345">
            <v>0</v>
          </cell>
          <cell r="U345">
            <v>0</v>
          </cell>
          <cell r="V345">
            <v>0</v>
          </cell>
          <cell r="W345">
            <v>0</v>
          </cell>
          <cell r="Y345" t="str">
            <v xml:space="preserve">   4.  Level IV</v>
          </cell>
          <cell r="Z345">
            <v>0</v>
          </cell>
          <cell r="AA345">
            <v>0.97</v>
          </cell>
          <cell r="AB345">
            <v>0</v>
          </cell>
          <cell r="AC345">
            <v>13.969999999999999</v>
          </cell>
          <cell r="AD345">
            <v>0</v>
          </cell>
          <cell r="AE345">
            <v>14.94</v>
          </cell>
          <cell r="AG345" t="str">
            <v xml:space="preserve">   4.  Level IV</v>
          </cell>
          <cell r="AH345">
            <v>0</v>
          </cell>
          <cell r="AI345">
            <v>0</v>
          </cell>
          <cell r="AJ345">
            <v>0</v>
          </cell>
          <cell r="AK345">
            <v>0</v>
          </cell>
          <cell r="AL345">
            <v>0</v>
          </cell>
          <cell r="AM345">
            <v>0</v>
          </cell>
          <cell r="AO345" t="str">
            <v xml:space="preserve">   4.  Level IV</v>
          </cell>
          <cell r="AP345">
            <v>0</v>
          </cell>
          <cell r="AQ345">
            <v>7</v>
          </cell>
          <cell r="AR345">
            <v>0</v>
          </cell>
          <cell r="AS345">
            <v>0</v>
          </cell>
          <cell r="AT345">
            <v>0</v>
          </cell>
          <cell r="AU345">
            <v>7</v>
          </cell>
          <cell r="AW345" t="str">
            <v xml:space="preserve">   4.  Level IV</v>
          </cell>
          <cell r="AX345">
            <v>0</v>
          </cell>
          <cell r="AY345">
            <v>0</v>
          </cell>
          <cell r="AZ345">
            <v>0</v>
          </cell>
          <cell r="BA345">
            <v>0</v>
          </cell>
          <cell r="BB345">
            <v>0</v>
          </cell>
          <cell r="BC345">
            <v>0</v>
          </cell>
        </row>
        <row r="346">
          <cell r="A346" t="str">
            <v xml:space="preserve">   5.</v>
          </cell>
          <cell r="I346" t="str">
            <v xml:space="preserve">   5.</v>
          </cell>
          <cell r="Q346" t="str">
            <v xml:space="preserve">   5.</v>
          </cell>
          <cell r="Y346" t="str">
            <v xml:space="preserve">   5.</v>
          </cell>
          <cell r="AG346" t="str">
            <v xml:space="preserve">   5.</v>
          </cell>
          <cell r="AO346" t="str">
            <v xml:space="preserve">   5.</v>
          </cell>
          <cell r="AW346" t="str">
            <v xml:space="preserve">   5.</v>
          </cell>
        </row>
        <row r="347">
          <cell r="A347" t="str">
            <v xml:space="preserve">   6.</v>
          </cell>
          <cell r="I347" t="str">
            <v xml:space="preserve">   6.</v>
          </cell>
          <cell r="Q347" t="str">
            <v xml:space="preserve">   6.</v>
          </cell>
          <cell r="Y347" t="str">
            <v xml:space="preserve">   6.</v>
          </cell>
          <cell r="AG347" t="str">
            <v xml:space="preserve">   6.</v>
          </cell>
          <cell r="AO347" t="str">
            <v xml:space="preserve">   6.</v>
          </cell>
          <cell r="AW347" t="str">
            <v xml:space="preserve">   6.</v>
          </cell>
        </row>
        <row r="348">
          <cell r="A348" t="str">
            <v xml:space="preserve">   7.  Home and Community Based Services (HCBS) Total</v>
          </cell>
          <cell r="B348">
            <v>0</v>
          </cell>
          <cell r="C348">
            <v>193.30999999999997</v>
          </cell>
          <cell r="D348">
            <v>0</v>
          </cell>
          <cell r="E348">
            <v>50.61</v>
          </cell>
          <cell r="F348">
            <v>0</v>
          </cell>
          <cell r="G348">
            <v>243.91999999999996</v>
          </cell>
          <cell r="I348" t="str">
            <v xml:space="preserve">   7.  Home and Community Based Services (HCBS) Total</v>
          </cell>
          <cell r="J348">
            <v>0</v>
          </cell>
          <cell r="K348">
            <v>338.48</v>
          </cell>
          <cell r="L348">
            <v>0</v>
          </cell>
          <cell r="M348">
            <v>88.35</v>
          </cell>
          <cell r="N348">
            <v>0</v>
          </cell>
          <cell r="O348">
            <v>426.83000000000004</v>
          </cell>
          <cell r="Q348" t="str">
            <v xml:space="preserve">   7.  Home and Community Based Services (HCBS) Total</v>
          </cell>
          <cell r="R348">
            <v>0</v>
          </cell>
          <cell r="S348">
            <v>95.550000000000011</v>
          </cell>
          <cell r="T348">
            <v>0</v>
          </cell>
          <cell r="U348">
            <v>14.07</v>
          </cell>
          <cell r="V348">
            <v>0</v>
          </cell>
          <cell r="W348">
            <v>109.62</v>
          </cell>
          <cell r="Y348" t="str">
            <v xml:space="preserve">   7.  Home and Community Based Services (HCBS) Total</v>
          </cell>
          <cell r="Z348">
            <v>0</v>
          </cell>
          <cell r="AA348">
            <v>8554.57</v>
          </cell>
          <cell r="AB348">
            <v>0</v>
          </cell>
          <cell r="AC348">
            <v>1510.57</v>
          </cell>
          <cell r="AD348">
            <v>0</v>
          </cell>
          <cell r="AE348">
            <v>10065.14</v>
          </cell>
          <cell r="AG348" t="str">
            <v xml:space="preserve">   7.  Home and Community Based Services (HCBS) Total</v>
          </cell>
          <cell r="AH348">
            <v>0</v>
          </cell>
          <cell r="AI348">
            <v>1325.78</v>
          </cell>
          <cell r="AJ348">
            <v>0</v>
          </cell>
          <cell r="AK348">
            <v>251.34</v>
          </cell>
          <cell r="AL348">
            <v>0</v>
          </cell>
          <cell r="AM348">
            <v>1577.12</v>
          </cell>
          <cell r="AO348" t="str">
            <v xml:space="preserve">   7.  Home and Community Based Services (HCBS) Total</v>
          </cell>
          <cell r="AP348">
            <v>0</v>
          </cell>
          <cell r="AQ348">
            <v>479.69000000000005</v>
          </cell>
          <cell r="AR348">
            <v>0</v>
          </cell>
          <cell r="AS348">
            <v>135.70999999999998</v>
          </cell>
          <cell r="AT348">
            <v>0</v>
          </cell>
          <cell r="AU348">
            <v>615.40000000000009</v>
          </cell>
          <cell r="AW348" t="str">
            <v xml:space="preserve">   7.  Home and Community Based Services (HCBS) Total</v>
          </cell>
          <cell r="AX348">
            <v>0</v>
          </cell>
          <cell r="AY348">
            <v>1021.8000000000001</v>
          </cell>
          <cell r="AZ348">
            <v>0</v>
          </cell>
          <cell r="BA348">
            <v>258.95</v>
          </cell>
          <cell r="BB348">
            <v>0</v>
          </cell>
          <cell r="BC348">
            <v>1280.75</v>
          </cell>
        </row>
        <row r="349">
          <cell r="A349" t="str">
            <v xml:space="preserve">       a.  Adult Foster Care</v>
          </cell>
          <cell r="B349">
            <v>0</v>
          </cell>
          <cell r="C349">
            <v>0</v>
          </cell>
          <cell r="D349">
            <v>0</v>
          </cell>
          <cell r="E349">
            <v>0</v>
          </cell>
          <cell r="F349">
            <v>0</v>
          </cell>
          <cell r="G349">
            <v>0</v>
          </cell>
          <cell r="I349" t="str">
            <v xml:space="preserve">       a.  Adult Foster Care</v>
          </cell>
          <cell r="J349">
            <v>0</v>
          </cell>
          <cell r="K349">
            <v>0</v>
          </cell>
          <cell r="L349">
            <v>0</v>
          </cell>
          <cell r="M349">
            <v>1.17</v>
          </cell>
          <cell r="N349">
            <v>0</v>
          </cell>
          <cell r="O349">
            <v>1.17</v>
          </cell>
          <cell r="Q349" t="str">
            <v xml:space="preserve">       a.  Adult Foster Care</v>
          </cell>
          <cell r="R349">
            <v>0</v>
          </cell>
          <cell r="S349">
            <v>0</v>
          </cell>
          <cell r="T349">
            <v>0</v>
          </cell>
          <cell r="U349">
            <v>0</v>
          </cell>
          <cell r="V349">
            <v>0</v>
          </cell>
          <cell r="W349">
            <v>0</v>
          </cell>
          <cell r="Y349" t="str">
            <v xml:space="preserve">       a.  Adult Foster Care</v>
          </cell>
          <cell r="Z349">
            <v>0</v>
          </cell>
          <cell r="AA349">
            <v>161.51</v>
          </cell>
          <cell r="AB349">
            <v>0</v>
          </cell>
          <cell r="AC349">
            <v>26.04</v>
          </cell>
          <cell r="AD349">
            <v>0</v>
          </cell>
          <cell r="AE349">
            <v>187.54999999999998</v>
          </cell>
          <cell r="AG349" t="str">
            <v xml:space="preserve">       a.  Adult Foster Care</v>
          </cell>
          <cell r="AH349">
            <v>0</v>
          </cell>
          <cell r="AI349">
            <v>12.9</v>
          </cell>
          <cell r="AJ349">
            <v>0</v>
          </cell>
          <cell r="AK349">
            <v>5.73</v>
          </cell>
          <cell r="AL349">
            <v>0</v>
          </cell>
          <cell r="AM349">
            <v>18.630000000000003</v>
          </cell>
          <cell r="AO349" t="str">
            <v xml:space="preserve">       a.  Adult Foster Care</v>
          </cell>
          <cell r="AP349">
            <v>0</v>
          </cell>
          <cell r="AQ349">
            <v>0</v>
          </cell>
          <cell r="AR349">
            <v>0</v>
          </cell>
          <cell r="AS349">
            <v>0</v>
          </cell>
          <cell r="AT349">
            <v>0</v>
          </cell>
          <cell r="AU349">
            <v>0</v>
          </cell>
          <cell r="AW349" t="str">
            <v xml:space="preserve">       a.  Adult Foster Care</v>
          </cell>
          <cell r="AX349">
            <v>0</v>
          </cell>
          <cell r="AY349">
            <v>4</v>
          </cell>
          <cell r="AZ349">
            <v>0</v>
          </cell>
          <cell r="BA349">
            <v>0</v>
          </cell>
          <cell r="BB349">
            <v>0</v>
          </cell>
          <cell r="BC349">
            <v>4</v>
          </cell>
        </row>
        <row r="350">
          <cell r="A350" t="str">
            <v xml:space="preserve">       b.  Assisted Living Home (Adult Care Home)</v>
          </cell>
          <cell r="B350">
            <v>0</v>
          </cell>
          <cell r="C350">
            <v>44.36</v>
          </cell>
          <cell r="D350">
            <v>0</v>
          </cell>
          <cell r="E350">
            <v>1.66</v>
          </cell>
          <cell r="F350">
            <v>0</v>
          </cell>
          <cell r="G350">
            <v>46.019999999999996</v>
          </cell>
          <cell r="I350" t="str">
            <v xml:space="preserve">       b.  Assisted Living Home (Adult Care Home)</v>
          </cell>
          <cell r="J350">
            <v>0</v>
          </cell>
          <cell r="K350">
            <v>19.060000000000002</v>
          </cell>
          <cell r="L350">
            <v>0</v>
          </cell>
          <cell r="M350">
            <v>4.7</v>
          </cell>
          <cell r="N350">
            <v>0</v>
          </cell>
          <cell r="O350">
            <v>23.76</v>
          </cell>
          <cell r="Q350" t="str">
            <v xml:space="preserve">       b.  Assisted Living Home (Adult Care Home)</v>
          </cell>
          <cell r="R350">
            <v>0</v>
          </cell>
          <cell r="S350">
            <v>0</v>
          </cell>
          <cell r="T350">
            <v>0</v>
          </cell>
          <cell r="U350">
            <v>0</v>
          </cell>
          <cell r="V350">
            <v>0</v>
          </cell>
          <cell r="W350">
            <v>0</v>
          </cell>
          <cell r="Y350" t="str">
            <v xml:space="preserve">       b.  Assisted Living Home (Adult Care Home)</v>
          </cell>
          <cell r="Z350">
            <v>0</v>
          </cell>
          <cell r="AA350">
            <v>1894.61</v>
          </cell>
          <cell r="AB350">
            <v>0</v>
          </cell>
          <cell r="AC350">
            <v>120.88</v>
          </cell>
          <cell r="AD350">
            <v>0</v>
          </cell>
          <cell r="AE350">
            <v>2015.4899999999998</v>
          </cell>
          <cell r="AG350" t="str">
            <v xml:space="preserve">       b.  Assisted Living Home (Adult Care Home)</v>
          </cell>
          <cell r="AH350">
            <v>0</v>
          </cell>
          <cell r="AI350">
            <v>30.16</v>
          </cell>
          <cell r="AJ350">
            <v>0</v>
          </cell>
          <cell r="AK350">
            <v>10.3</v>
          </cell>
          <cell r="AL350">
            <v>0</v>
          </cell>
          <cell r="AM350">
            <v>40.46</v>
          </cell>
          <cell r="AO350" t="str">
            <v xml:space="preserve">       b.  Assisted Living Home (Adult Care Home)</v>
          </cell>
          <cell r="AP350">
            <v>0</v>
          </cell>
          <cell r="AQ350">
            <v>84.77</v>
          </cell>
          <cell r="AR350">
            <v>0</v>
          </cell>
          <cell r="AS350">
            <v>12</v>
          </cell>
          <cell r="AT350">
            <v>0</v>
          </cell>
          <cell r="AU350">
            <v>96.77</v>
          </cell>
          <cell r="AW350" t="str">
            <v xml:space="preserve">       b.  Assisted Living Home (Adult Care Home)</v>
          </cell>
          <cell r="AX350">
            <v>0</v>
          </cell>
          <cell r="AY350">
            <v>114.64999999999999</v>
          </cell>
          <cell r="AZ350">
            <v>0</v>
          </cell>
          <cell r="BA350">
            <v>10.27</v>
          </cell>
          <cell r="BB350">
            <v>0</v>
          </cell>
          <cell r="BC350">
            <v>124.91999999999999</v>
          </cell>
        </row>
        <row r="351">
          <cell r="A351" t="str">
            <v xml:space="preserve">       c.  Group Home (DD)</v>
          </cell>
          <cell r="B351">
            <v>0</v>
          </cell>
          <cell r="C351">
            <v>0</v>
          </cell>
          <cell r="D351">
            <v>0</v>
          </cell>
          <cell r="E351">
            <v>0</v>
          </cell>
          <cell r="F351">
            <v>0</v>
          </cell>
          <cell r="G351">
            <v>0</v>
          </cell>
          <cell r="I351" t="str">
            <v xml:space="preserve">       c.  Group Home (DD)</v>
          </cell>
          <cell r="J351">
            <v>0</v>
          </cell>
          <cell r="K351">
            <v>0</v>
          </cell>
          <cell r="L351">
            <v>0</v>
          </cell>
          <cell r="M351">
            <v>0</v>
          </cell>
          <cell r="N351">
            <v>0</v>
          </cell>
          <cell r="O351">
            <v>0</v>
          </cell>
          <cell r="Q351" t="str">
            <v xml:space="preserve">       c.  Group Home (DD)</v>
          </cell>
          <cell r="R351">
            <v>0</v>
          </cell>
          <cell r="S351">
            <v>0</v>
          </cell>
          <cell r="T351">
            <v>0</v>
          </cell>
          <cell r="U351">
            <v>0</v>
          </cell>
          <cell r="V351">
            <v>0</v>
          </cell>
          <cell r="W351">
            <v>0</v>
          </cell>
          <cell r="Y351" t="str">
            <v xml:space="preserve">       c.  Group Home (DD)</v>
          </cell>
          <cell r="Z351">
            <v>0</v>
          </cell>
          <cell r="AA351">
            <v>4.0299999999999994</v>
          </cell>
          <cell r="AB351">
            <v>0</v>
          </cell>
          <cell r="AC351">
            <v>0</v>
          </cell>
          <cell r="AD351">
            <v>0</v>
          </cell>
          <cell r="AE351">
            <v>4.0299999999999994</v>
          </cell>
          <cell r="AG351" t="str">
            <v xml:space="preserve">       c.  Group Home (DD)</v>
          </cell>
          <cell r="AH351">
            <v>0</v>
          </cell>
          <cell r="AI351">
            <v>0</v>
          </cell>
          <cell r="AJ351">
            <v>0</v>
          </cell>
          <cell r="AK351">
            <v>0</v>
          </cell>
          <cell r="AL351">
            <v>0</v>
          </cell>
          <cell r="AM351">
            <v>0</v>
          </cell>
          <cell r="AO351" t="str">
            <v xml:space="preserve">       c.  Group Home (DD)</v>
          </cell>
          <cell r="AP351">
            <v>0</v>
          </cell>
          <cell r="AQ351">
            <v>0</v>
          </cell>
          <cell r="AR351">
            <v>0</v>
          </cell>
          <cell r="AS351">
            <v>0</v>
          </cell>
          <cell r="AT351">
            <v>0</v>
          </cell>
          <cell r="AU351">
            <v>0</v>
          </cell>
          <cell r="AW351" t="str">
            <v xml:space="preserve">       c.  Group Home (DD)</v>
          </cell>
          <cell r="AX351">
            <v>0</v>
          </cell>
          <cell r="AY351">
            <v>0</v>
          </cell>
          <cell r="AZ351">
            <v>0</v>
          </cell>
          <cell r="BA351">
            <v>0</v>
          </cell>
          <cell r="BB351">
            <v>0</v>
          </cell>
          <cell r="BC351">
            <v>0</v>
          </cell>
        </row>
        <row r="352">
          <cell r="A352" t="str">
            <v xml:space="preserve">       d.  Individual Home</v>
          </cell>
          <cell r="B352">
            <v>0</v>
          </cell>
          <cell r="C352">
            <v>79.72999999999999</v>
          </cell>
          <cell r="D352">
            <v>0</v>
          </cell>
          <cell r="E352">
            <v>36.950000000000003</v>
          </cell>
          <cell r="F352">
            <v>0</v>
          </cell>
          <cell r="G352">
            <v>116.67999999999999</v>
          </cell>
          <cell r="I352" t="str">
            <v xml:space="preserve">       d.  Individual Home</v>
          </cell>
          <cell r="J352">
            <v>0</v>
          </cell>
          <cell r="K352">
            <v>104.99</v>
          </cell>
          <cell r="L352">
            <v>0</v>
          </cell>
          <cell r="M352">
            <v>45.69</v>
          </cell>
          <cell r="N352">
            <v>0</v>
          </cell>
          <cell r="O352">
            <v>150.68</v>
          </cell>
          <cell r="Q352" t="str">
            <v xml:space="preserve">       d.  Individual Home</v>
          </cell>
          <cell r="R352">
            <v>0</v>
          </cell>
          <cell r="S352">
            <v>69.900000000000006</v>
          </cell>
          <cell r="T352">
            <v>0</v>
          </cell>
          <cell r="U352">
            <v>3</v>
          </cell>
          <cell r="V352">
            <v>0</v>
          </cell>
          <cell r="W352">
            <v>72.900000000000006</v>
          </cell>
          <cell r="Y352" t="str">
            <v xml:space="preserve">       d.  Individual Home</v>
          </cell>
          <cell r="Z352">
            <v>0</v>
          </cell>
          <cell r="AA352">
            <v>1965.87</v>
          </cell>
          <cell r="AB352">
            <v>0</v>
          </cell>
          <cell r="AC352">
            <v>726.05</v>
          </cell>
          <cell r="AD352">
            <v>0</v>
          </cell>
          <cell r="AE352">
            <v>2691.92</v>
          </cell>
          <cell r="AG352" t="str">
            <v xml:space="preserve">       d.  Individual Home</v>
          </cell>
          <cell r="AH352">
            <v>0</v>
          </cell>
          <cell r="AI352">
            <v>534.37</v>
          </cell>
          <cell r="AJ352">
            <v>0</v>
          </cell>
          <cell r="AK352">
            <v>126.09</v>
          </cell>
          <cell r="AL352">
            <v>0</v>
          </cell>
          <cell r="AM352">
            <v>660.46</v>
          </cell>
          <cell r="AO352" t="str">
            <v xml:space="preserve">       d.  Individual Home</v>
          </cell>
          <cell r="AP352">
            <v>0</v>
          </cell>
          <cell r="AQ352">
            <v>196.08</v>
          </cell>
          <cell r="AR352">
            <v>0</v>
          </cell>
          <cell r="AS352">
            <v>78.42</v>
          </cell>
          <cell r="AT352">
            <v>0</v>
          </cell>
          <cell r="AU352">
            <v>274.5</v>
          </cell>
          <cell r="AW352" t="str">
            <v xml:space="preserve">       d.  Individual Home</v>
          </cell>
          <cell r="AX352">
            <v>0</v>
          </cell>
          <cell r="AY352">
            <v>336.13</v>
          </cell>
          <cell r="AZ352">
            <v>0</v>
          </cell>
          <cell r="BA352">
            <v>124.83999999999999</v>
          </cell>
          <cell r="BB352">
            <v>0</v>
          </cell>
          <cell r="BC352">
            <v>460.96999999999997</v>
          </cell>
        </row>
        <row r="353">
          <cell r="A353" t="str">
            <v xml:space="preserve">       e.  Assisted Living Centers (SRL)</v>
          </cell>
          <cell r="B353">
            <v>0</v>
          </cell>
          <cell r="C353">
            <v>3.3200000000000003</v>
          </cell>
          <cell r="D353">
            <v>0</v>
          </cell>
          <cell r="E353">
            <v>3</v>
          </cell>
          <cell r="F353">
            <v>0</v>
          </cell>
          <cell r="G353">
            <v>6.32</v>
          </cell>
          <cell r="I353" t="str">
            <v xml:space="preserve">       e.  Assisted Living Centers (SRL)</v>
          </cell>
          <cell r="J353">
            <v>0</v>
          </cell>
          <cell r="K353">
            <v>144.38999999999999</v>
          </cell>
          <cell r="L353">
            <v>0</v>
          </cell>
          <cell r="M353">
            <v>8.17</v>
          </cell>
          <cell r="N353">
            <v>0</v>
          </cell>
          <cell r="O353">
            <v>152.55999999999997</v>
          </cell>
          <cell r="Q353" t="str">
            <v xml:space="preserve">       e.  Assisted Living Centers (SRL)</v>
          </cell>
          <cell r="R353">
            <v>0</v>
          </cell>
          <cell r="S353">
            <v>8.65</v>
          </cell>
          <cell r="T353">
            <v>0</v>
          </cell>
          <cell r="U353">
            <v>0</v>
          </cell>
          <cell r="V353">
            <v>0</v>
          </cell>
          <cell r="W353">
            <v>8.65</v>
          </cell>
          <cell r="Y353" t="str">
            <v xml:space="preserve">       e.  Assisted Living Centers (SRL)</v>
          </cell>
          <cell r="Z353">
            <v>0</v>
          </cell>
          <cell r="AA353">
            <v>2157.25</v>
          </cell>
          <cell r="AB353">
            <v>0</v>
          </cell>
          <cell r="AC353">
            <v>134.42000000000002</v>
          </cell>
          <cell r="AD353">
            <v>0</v>
          </cell>
          <cell r="AE353">
            <v>2291.67</v>
          </cell>
          <cell r="AG353" t="str">
            <v xml:space="preserve">       e.  Assisted Living Centers (SRL)</v>
          </cell>
          <cell r="AH353">
            <v>0</v>
          </cell>
          <cell r="AI353">
            <v>365.73</v>
          </cell>
          <cell r="AJ353">
            <v>0</v>
          </cell>
          <cell r="AK353">
            <v>51.73</v>
          </cell>
          <cell r="AL353">
            <v>0</v>
          </cell>
          <cell r="AM353">
            <v>417.46000000000004</v>
          </cell>
          <cell r="AO353" t="str">
            <v xml:space="preserve">       e.  Assisted Living Centers (SRL)</v>
          </cell>
          <cell r="AP353">
            <v>0</v>
          </cell>
          <cell r="AQ353">
            <v>57.95</v>
          </cell>
          <cell r="AR353">
            <v>0</v>
          </cell>
          <cell r="AS353">
            <v>9.8000000000000007</v>
          </cell>
          <cell r="AT353">
            <v>0</v>
          </cell>
          <cell r="AU353">
            <v>67.75</v>
          </cell>
          <cell r="AW353" t="str">
            <v xml:space="preserve">       e.  Assisted Living Centers (SRL)</v>
          </cell>
          <cell r="AX353">
            <v>0</v>
          </cell>
          <cell r="AY353">
            <v>144.34</v>
          </cell>
          <cell r="AZ353">
            <v>0</v>
          </cell>
          <cell r="BA353">
            <v>16.86</v>
          </cell>
          <cell r="BB353">
            <v>0</v>
          </cell>
          <cell r="BC353">
            <v>161.19999999999999</v>
          </cell>
        </row>
        <row r="354">
          <cell r="A354" t="str">
            <v xml:space="preserve">       f.  Other (Hospice)</v>
          </cell>
          <cell r="B354">
            <v>0</v>
          </cell>
          <cell r="C354">
            <v>17.420000000000002</v>
          </cell>
          <cell r="D354">
            <v>0</v>
          </cell>
          <cell r="E354">
            <v>0</v>
          </cell>
          <cell r="F354">
            <v>0</v>
          </cell>
          <cell r="G354">
            <v>17.420000000000002</v>
          </cell>
          <cell r="I354" t="str">
            <v xml:space="preserve">       f.  Other (Hospice)</v>
          </cell>
          <cell r="J354">
            <v>0</v>
          </cell>
          <cell r="K354">
            <v>1.9100000000000001</v>
          </cell>
          <cell r="L354">
            <v>0</v>
          </cell>
          <cell r="M354">
            <v>0</v>
          </cell>
          <cell r="N354">
            <v>0</v>
          </cell>
          <cell r="O354">
            <v>1.9100000000000001</v>
          </cell>
          <cell r="Q354" t="str">
            <v xml:space="preserve">       f.  Other (Hospice)</v>
          </cell>
          <cell r="R354">
            <v>0</v>
          </cell>
          <cell r="S354">
            <v>0</v>
          </cell>
          <cell r="T354">
            <v>0</v>
          </cell>
          <cell r="U354">
            <v>3</v>
          </cell>
          <cell r="V354">
            <v>0</v>
          </cell>
          <cell r="W354">
            <v>3</v>
          </cell>
          <cell r="Y354" t="str">
            <v xml:space="preserve">       f.  Other (Hospice)</v>
          </cell>
          <cell r="Z354">
            <v>0</v>
          </cell>
          <cell r="AA354">
            <v>287.98</v>
          </cell>
          <cell r="AB354">
            <v>0</v>
          </cell>
          <cell r="AC354">
            <v>6.83</v>
          </cell>
          <cell r="AD354">
            <v>0</v>
          </cell>
          <cell r="AE354">
            <v>294.81</v>
          </cell>
          <cell r="AG354" t="str">
            <v xml:space="preserve">       f.  Other (Hospice)</v>
          </cell>
          <cell r="AH354">
            <v>0</v>
          </cell>
          <cell r="AI354">
            <v>4.0600000000000005</v>
          </cell>
          <cell r="AJ354">
            <v>0</v>
          </cell>
          <cell r="AK354">
            <v>0</v>
          </cell>
          <cell r="AL354">
            <v>0</v>
          </cell>
          <cell r="AM354">
            <v>4.0600000000000005</v>
          </cell>
          <cell r="AO354" t="str">
            <v xml:space="preserve">       f.  Other (Hospice)</v>
          </cell>
          <cell r="AP354">
            <v>0</v>
          </cell>
          <cell r="AQ354">
            <v>16.420000000000002</v>
          </cell>
          <cell r="AR354">
            <v>0</v>
          </cell>
          <cell r="AS354">
            <v>6.49</v>
          </cell>
          <cell r="AT354">
            <v>0</v>
          </cell>
          <cell r="AU354">
            <v>22.910000000000004</v>
          </cell>
          <cell r="AW354" t="str">
            <v xml:space="preserve">       f.  Other (Hospice)</v>
          </cell>
          <cell r="AX354">
            <v>0</v>
          </cell>
          <cell r="AY354">
            <v>25.36</v>
          </cell>
          <cell r="AZ354">
            <v>0</v>
          </cell>
          <cell r="BA354">
            <v>1.9</v>
          </cell>
          <cell r="BB354">
            <v>0</v>
          </cell>
          <cell r="BC354">
            <v>27.259999999999998</v>
          </cell>
        </row>
        <row r="355">
          <cell r="A355" t="str">
            <v xml:space="preserve">       g.  Attendant Care</v>
          </cell>
          <cell r="B355">
            <v>0</v>
          </cell>
          <cell r="C355">
            <v>48.48</v>
          </cell>
          <cell r="D355">
            <v>0</v>
          </cell>
          <cell r="E355">
            <v>9</v>
          </cell>
          <cell r="F355">
            <v>0</v>
          </cell>
          <cell r="G355">
            <v>57.48</v>
          </cell>
          <cell r="I355" t="str">
            <v xml:space="preserve">       g.  Attendant Care</v>
          </cell>
          <cell r="J355">
            <v>0</v>
          </cell>
          <cell r="K355">
            <v>68.13</v>
          </cell>
          <cell r="L355">
            <v>0</v>
          </cell>
          <cell r="M355">
            <v>28.619999999999997</v>
          </cell>
          <cell r="N355">
            <v>0</v>
          </cell>
          <cell r="O355">
            <v>96.75</v>
          </cell>
          <cell r="Q355" t="str">
            <v xml:space="preserve">       g.  Attendant Care</v>
          </cell>
          <cell r="R355">
            <v>0</v>
          </cell>
          <cell r="S355">
            <v>17</v>
          </cell>
          <cell r="T355">
            <v>0</v>
          </cell>
          <cell r="U355">
            <v>8.07</v>
          </cell>
          <cell r="V355">
            <v>0</v>
          </cell>
          <cell r="W355">
            <v>25.07</v>
          </cell>
          <cell r="Y355" t="str">
            <v xml:space="preserve">       g.  Attendant Care</v>
          </cell>
          <cell r="Z355">
            <v>0</v>
          </cell>
          <cell r="AA355">
            <v>2083.3200000000002</v>
          </cell>
          <cell r="AB355">
            <v>0</v>
          </cell>
          <cell r="AC355">
            <v>496.35</v>
          </cell>
          <cell r="AD355">
            <v>0</v>
          </cell>
          <cell r="AE355">
            <v>2579.67</v>
          </cell>
          <cell r="AG355" t="str">
            <v xml:space="preserve">       g.  Attendant Care</v>
          </cell>
          <cell r="AH355">
            <v>0</v>
          </cell>
          <cell r="AI355">
            <v>378.56</v>
          </cell>
          <cell r="AJ355">
            <v>0</v>
          </cell>
          <cell r="AK355">
            <v>57.490000000000009</v>
          </cell>
          <cell r="AL355">
            <v>0</v>
          </cell>
          <cell r="AM355">
            <v>436.05</v>
          </cell>
          <cell r="AO355" t="str">
            <v xml:space="preserve">       g.  Attendant Care</v>
          </cell>
          <cell r="AP355">
            <v>0</v>
          </cell>
          <cell r="AQ355">
            <v>124.47</v>
          </cell>
          <cell r="AR355">
            <v>0</v>
          </cell>
          <cell r="AS355">
            <v>29</v>
          </cell>
          <cell r="AT355">
            <v>0</v>
          </cell>
          <cell r="AU355">
            <v>153.47</v>
          </cell>
          <cell r="AW355" t="str">
            <v xml:space="preserve">       g.  Attendant Care</v>
          </cell>
          <cell r="AX355">
            <v>0</v>
          </cell>
          <cell r="AY355">
            <v>397.32000000000005</v>
          </cell>
          <cell r="AZ355">
            <v>0</v>
          </cell>
          <cell r="BA355">
            <v>105.08000000000001</v>
          </cell>
          <cell r="BB355">
            <v>0</v>
          </cell>
          <cell r="BC355">
            <v>502.40000000000009</v>
          </cell>
        </row>
        <row r="356">
          <cell r="A356" t="str">
            <v xml:space="preserve">   8.  Acute Care</v>
          </cell>
          <cell r="B356">
            <v>0</v>
          </cell>
          <cell r="C356">
            <v>3.2</v>
          </cell>
          <cell r="D356">
            <v>0</v>
          </cell>
          <cell r="E356">
            <v>0</v>
          </cell>
          <cell r="F356">
            <v>0</v>
          </cell>
          <cell r="G356">
            <v>3.2</v>
          </cell>
          <cell r="I356" t="str">
            <v xml:space="preserve">   8.  Acute Care</v>
          </cell>
          <cell r="J356">
            <v>0</v>
          </cell>
          <cell r="K356">
            <v>11</v>
          </cell>
          <cell r="L356">
            <v>0</v>
          </cell>
          <cell r="M356">
            <v>6.0299999999999994</v>
          </cell>
          <cell r="N356">
            <v>0</v>
          </cell>
          <cell r="O356">
            <v>17.03</v>
          </cell>
          <cell r="Q356" t="str">
            <v xml:space="preserve">   8.  Acute Care</v>
          </cell>
          <cell r="R356">
            <v>0</v>
          </cell>
          <cell r="S356">
            <v>7.5299999999999994</v>
          </cell>
          <cell r="T356">
            <v>0</v>
          </cell>
          <cell r="U356">
            <v>0</v>
          </cell>
          <cell r="V356">
            <v>0</v>
          </cell>
          <cell r="W356">
            <v>7.5299999999999994</v>
          </cell>
          <cell r="Y356" t="str">
            <v xml:space="preserve">   8.  Acute Care</v>
          </cell>
          <cell r="Z356">
            <v>0</v>
          </cell>
          <cell r="AA356">
            <v>114.88</v>
          </cell>
          <cell r="AB356">
            <v>0</v>
          </cell>
          <cell r="AC356">
            <v>85.009999999999991</v>
          </cell>
          <cell r="AD356">
            <v>0</v>
          </cell>
          <cell r="AE356">
            <v>199.89</v>
          </cell>
          <cell r="AG356" t="str">
            <v xml:space="preserve">   8.  Acute Care</v>
          </cell>
          <cell r="AH356">
            <v>0</v>
          </cell>
          <cell r="AI356">
            <v>6.9</v>
          </cell>
          <cell r="AJ356">
            <v>0</v>
          </cell>
          <cell r="AK356">
            <v>0</v>
          </cell>
          <cell r="AL356">
            <v>0</v>
          </cell>
          <cell r="AM356">
            <v>6.9</v>
          </cell>
          <cell r="AO356" t="str">
            <v xml:space="preserve">   8.  Acute Care</v>
          </cell>
          <cell r="AP356">
            <v>0</v>
          </cell>
          <cell r="AQ356">
            <v>4.57</v>
          </cell>
          <cell r="AR356">
            <v>0</v>
          </cell>
          <cell r="AS356">
            <v>0</v>
          </cell>
          <cell r="AT356">
            <v>0</v>
          </cell>
          <cell r="AU356">
            <v>4.57</v>
          </cell>
          <cell r="AW356" t="str">
            <v xml:space="preserve">   8.  Acute Care</v>
          </cell>
          <cell r="AX356">
            <v>0</v>
          </cell>
          <cell r="AY356">
            <v>5</v>
          </cell>
          <cell r="AZ356">
            <v>0</v>
          </cell>
          <cell r="BA356">
            <v>5</v>
          </cell>
          <cell r="BB356">
            <v>0</v>
          </cell>
          <cell r="BC356">
            <v>10</v>
          </cell>
        </row>
        <row r="357">
          <cell r="A357" t="str">
            <v xml:space="preserve">   9.  Ventilator</v>
          </cell>
          <cell r="B357">
            <v>0</v>
          </cell>
          <cell r="C357">
            <v>0</v>
          </cell>
          <cell r="D357">
            <v>0</v>
          </cell>
          <cell r="E357">
            <v>0</v>
          </cell>
          <cell r="F357">
            <v>0</v>
          </cell>
          <cell r="G357">
            <v>0</v>
          </cell>
          <cell r="I357" t="str">
            <v xml:space="preserve">   9.  Ventilator</v>
          </cell>
          <cell r="J357">
            <v>0</v>
          </cell>
          <cell r="K357">
            <v>0</v>
          </cell>
          <cell r="L357">
            <v>0</v>
          </cell>
          <cell r="M357">
            <v>3</v>
          </cell>
          <cell r="N357">
            <v>0</v>
          </cell>
          <cell r="O357">
            <v>3</v>
          </cell>
          <cell r="Q357" t="str">
            <v xml:space="preserve">   9.  Ventilator</v>
          </cell>
          <cell r="R357">
            <v>0</v>
          </cell>
          <cell r="S357">
            <v>0</v>
          </cell>
          <cell r="T357">
            <v>0</v>
          </cell>
          <cell r="U357">
            <v>0</v>
          </cell>
          <cell r="V357">
            <v>0</v>
          </cell>
          <cell r="W357">
            <v>0</v>
          </cell>
          <cell r="Y357" t="str">
            <v xml:space="preserve">   9.  Ventilator</v>
          </cell>
          <cell r="Z357">
            <v>0</v>
          </cell>
          <cell r="AA357">
            <v>64.25</v>
          </cell>
          <cell r="AB357">
            <v>0</v>
          </cell>
          <cell r="AC357">
            <v>56.510000000000005</v>
          </cell>
          <cell r="AD357">
            <v>0</v>
          </cell>
          <cell r="AE357">
            <v>120.76</v>
          </cell>
          <cell r="AG357" t="str">
            <v xml:space="preserve">   9.  Ventilator</v>
          </cell>
          <cell r="AH357">
            <v>0</v>
          </cell>
          <cell r="AI357">
            <v>4</v>
          </cell>
          <cell r="AJ357">
            <v>0</v>
          </cell>
          <cell r="AK357">
            <v>0</v>
          </cell>
          <cell r="AL357">
            <v>0</v>
          </cell>
          <cell r="AM357">
            <v>4</v>
          </cell>
          <cell r="AO357" t="str">
            <v xml:space="preserve">   9.  Ventilator</v>
          </cell>
          <cell r="AP357">
            <v>0</v>
          </cell>
          <cell r="AQ357">
            <v>4</v>
          </cell>
          <cell r="AR357">
            <v>0</v>
          </cell>
          <cell r="AS357">
            <v>3</v>
          </cell>
          <cell r="AT357">
            <v>0</v>
          </cell>
          <cell r="AU357">
            <v>7</v>
          </cell>
          <cell r="AW357" t="str">
            <v xml:space="preserve">   9.  Ventilator</v>
          </cell>
          <cell r="AX357">
            <v>0</v>
          </cell>
          <cell r="AY357">
            <v>0</v>
          </cell>
          <cell r="AZ357">
            <v>0</v>
          </cell>
          <cell r="BA357">
            <v>3</v>
          </cell>
          <cell r="BB357">
            <v>0</v>
          </cell>
          <cell r="BC357">
            <v>3</v>
          </cell>
        </row>
        <row r="358">
          <cell r="A358" t="str">
            <v xml:space="preserve">  10.  Prior Period</v>
          </cell>
          <cell r="B358">
            <v>0</v>
          </cell>
          <cell r="C358">
            <v>1.9666999999999999</v>
          </cell>
          <cell r="D358">
            <v>0</v>
          </cell>
          <cell r="E358">
            <v>0</v>
          </cell>
          <cell r="F358">
            <v>0</v>
          </cell>
          <cell r="G358">
            <v>1.9666999999999999</v>
          </cell>
          <cell r="I358" t="str">
            <v xml:space="preserve">  10.  Prior Period</v>
          </cell>
          <cell r="J358">
            <v>0</v>
          </cell>
          <cell r="K358">
            <v>16.677399999999999</v>
          </cell>
          <cell r="L358">
            <v>0</v>
          </cell>
          <cell r="M358">
            <v>4.9333</v>
          </cell>
          <cell r="N358">
            <v>0</v>
          </cell>
          <cell r="O358">
            <v>21.610699999999998</v>
          </cell>
          <cell r="Q358" t="str">
            <v xml:space="preserve">  10.  Prior Period</v>
          </cell>
          <cell r="R358">
            <v>0</v>
          </cell>
          <cell r="S358">
            <v>19.161200000000001</v>
          </cell>
          <cell r="T358">
            <v>0</v>
          </cell>
          <cell r="U358">
            <v>0</v>
          </cell>
          <cell r="V358">
            <v>0</v>
          </cell>
          <cell r="W358">
            <v>19.161200000000001</v>
          </cell>
          <cell r="Y358" t="str">
            <v xml:space="preserve">  10.  Prior Period</v>
          </cell>
          <cell r="Z358">
            <v>0</v>
          </cell>
          <cell r="AA358">
            <v>506.45180000000005</v>
          </cell>
          <cell r="AB358">
            <v>0</v>
          </cell>
          <cell r="AC358">
            <v>36.459099999999999</v>
          </cell>
          <cell r="AD358">
            <v>0</v>
          </cell>
          <cell r="AE358">
            <v>542.91090000000008</v>
          </cell>
          <cell r="AG358" t="str">
            <v xml:space="preserve">  10.  Prior Period</v>
          </cell>
          <cell r="AH358">
            <v>0</v>
          </cell>
          <cell r="AI358">
            <v>80.073099999999997</v>
          </cell>
          <cell r="AJ358">
            <v>0</v>
          </cell>
          <cell r="AK358">
            <v>9.0333000000000006</v>
          </cell>
          <cell r="AL358">
            <v>0</v>
          </cell>
          <cell r="AM358">
            <v>89.106399999999994</v>
          </cell>
          <cell r="AO358" t="str">
            <v xml:space="preserve">  10.  Prior Period</v>
          </cell>
          <cell r="AP358">
            <v>0</v>
          </cell>
          <cell r="AQ358">
            <v>21.099999999999998</v>
          </cell>
          <cell r="AR358">
            <v>0</v>
          </cell>
          <cell r="AS358">
            <v>3.2300000000000002E-2</v>
          </cell>
          <cell r="AT358">
            <v>0</v>
          </cell>
          <cell r="AU358">
            <v>21.132299999999997</v>
          </cell>
          <cell r="AW358" t="str">
            <v xml:space="preserve">  10.  Prior Period</v>
          </cell>
          <cell r="AX358">
            <v>0</v>
          </cell>
          <cell r="AY358">
            <v>39.611800000000002</v>
          </cell>
          <cell r="AZ358">
            <v>0</v>
          </cell>
          <cell r="BA358">
            <v>0</v>
          </cell>
          <cell r="BB358">
            <v>0</v>
          </cell>
          <cell r="BC358">
            <v>39.611800000000002</v>
          </cell>
        </row>
        <row r="359">
          <cell r="A359" t="str">
            <v xml:space="preserve">  11.  Other - Not Placed</v>
          </cell>
          <cell r="B359">
            <v>0</v>
          </cell>
          <cell r="C359">
            <v>-23.29</v>
          </cell>
          <cell r="D359">
            <v>0</v>
          </cell>
          <cell r="E359">
            <v>-7</v>
          </cell>
          <cell r="F359">
            <v>0</v>
          </cell>
          <cell r="G359">
            <v>-30.29</v>
          </cell>
          <cell r="I359" t="str">
            <v xml:space="preserve">  11.  Other - Not Placed</v>
          </cell>
          <cell r="J359">
            <v>0</v>
          </cell>
          <cell r="K359">
            <v>-42.91</v>
          </cell>
          <cell r="L359">
            <v>0</v>
          </cell>
          <cell r="M359">
            <v>-4.43</v>
          </cell>
          <cell r="N359">
            <v>0</v>
          </cell>
          <cell r="O359">
            <v>-47.339999999999996</v>
          </cell>
          <cell r="Q359" t="str">
            <v xml:space="preserve">  11.  Other - Not Placed</v>
          </cell>
          <cell r="R359">
            <v>0</v>
          </cell>
          <cell r="S359">
            <v>-22.83</v>
          </cell>
          <cell r="T359">
            <v>0</v>
          </cell>
          <cell r="U359">
            <v>0</v>
          </cell>
          <cell r="V359">
            <v>0</v>
          </cell>
          <cell r="W359">
            <v>-22.83</v>
          </cell>
          <cell r="Y359" t="str">
            <v xml:space="preserve">  11.  Other - Not Placed</v>
          </cell>
          <cell r="Z359">
            <v>0</v>
          </cell>
          <cell r="AA359">
            <v>-1251.3499999999979</v>
          </cell>
          <cell r="AB359">
            <v>0</v>
          </cell>
          <cell r="AC359">
            <v>-184.51999999999998</v>
          </cell>
          <cell r="AD359">
            <v>0</v>
          </cell>
          <cell r="AE359">
            <v>-1435.8699999999978</v>
          </cell>
          <cell r="AG359" t="str">
            <v xml:space="preserve">  11.  Other - Not Placed</v>
          </cell>
          <cell r="AH359">
            <v>0</v>
          </cell>
          <cell r="AI359">
            <v>-294.55</v>
          </cell>
          <cell r="AJ359">
            <v>0</v>
          </cell>
          <cell r="AK359">
            <v>-14.290000000000001</v>
          </cell>
          <cell r="AL359">
            <v>0</v>
          </cell>
          <cell r="AM359">
            <v>-308.84000000000003</v>
          </cell>
          <cell r="AO359" t="str">
            <v xml:space="preserve">  11.  Other - Not Placed</v>
          </cell>
          <cell r="AP359">
            <v>0</v>
          </cell>
          <cell r="AQ359">
            <v>-31.769999999999996</v>
          </cell>
          <cell r="AR359">
            <v>0</v>
          </cell>
          <cell r="AS359">
            <v>-18.259999999999998</v>
          </cell>
          <cell r="AT359">
            <v>0</v>
          </cell>
          <cell r="AU359">
            <v>-50.029999999999994</v>
          </cell>
          <cell r="AW359" t="str">
            <v xml:space="preserve">  11.  Other - Not Placed</v>
          </cell>
          <cell r="AX359">
            <v>0</v>
          </cell>
          <cell r="AY359">
            <v>-270.71000000000004</v>
          </cell>
          <cell r="AZ359">
            <v>0</v>
          </cell>
          <cell r="BA359">
            <v>-48.54</v>
          </cell>
          <cell r="BB359">
            <v>0</v>
          </cell>
          <cell r="BC359">
            <v>-319.25000000000006</v>
          </cell>
        </row>
        <row r="361">
          <cell r="A361" t="str">
            <v>C.   Acute Patient Day Information</v>
          </cell>
          <cell r="I361" t="str">
            <v>C.   Acute Patient Day Information</v>
          </cell>
          <cell r="Q361" t="str">
            <v>C.   Acute Patient Day Information</v>
          </cell>
          <cell r="Y361" t="str">
            <v>C.   Acute Patient Day Information</v>
          </cell>
          <cell r="AG361" t="str">
            <v>C.   Acute Patient Day Information</v>
          </cell>
          <cell r="AO361" t="str">
            <v>C.   Acute Patient Day Information</v>
          </cell>
          <cell r="AW361" t="str">
            <v>C.   Acute Patient Day Information</v>
          </cell>
        </row>
        <row r="362">
          <cell r="A362" t="str">
            <v xml:space="preserve">       a.  Admissions</v>
          </cell>
          <cell r="B362">
            <v>0</v>
          </cell>
          <cell r="C362">
            <v>16</v>
          </cell>
          <cell r="D362">
            <v>0</v>
          </cell>
          <cell r="E362">
            <v>2</v>
          </cell>
          <cell r="F362">
            <v>0</v>
          </cell>
          <cell r="G362">
            <v>18</v>
          </cell>
          <cell r="I362" t="str">
            <v xml:space="preserve">       a.  Admissions</v>
          </cell>
          <cell r="J362">
            <v>0</v>
          </cell>
          <cell r="K362">
            <v>28</v>
          </cell>
          <cell r="L362">
            <v>0</v>
          </cell>
          <cell r="M362">
            <v>10</v>
          </cell>
          <cell r="N362">
            <v>0</v>
          </cell>
          <cell r="O362">
            <v>38</v>
          </cell>
          <cell r="Q362" t="str">
            <v xml:space="preserve">       a.  Admissions</v>
          </cell>
          <cell r="R362">
            <v>0</v>
          </cell>
          <cell r="S362">
            <v>17</v>
          </cell>
          <cell r="T362">
            <v>0</v>
          </cell>
          <cell r="U362">
            <v>2</v>
          </cell>
          <cell r="V362">
            <v>0</v>
          </cell>
          <cell r="W362">
            <v>19</v>
          </cell>
          <cell r="Y362" t="str">
            <v xml:space="preserve">       a.  Admissions</v>
          </cell>
          <cell r="Z362">
            <v>0</v>
          </cell>
          <cell r="AA362">
            <v>789</v>
          </cell>
          <cell r="AB362">
            <v>0</v>
          </cell>
          <cell r="AC362">
            <v>142</v>
          </cell>
          <cell r="AD362">
            <v>0</v>
          </cell>
          <cell r="AE362">
            <v>931</v>
          </cell>
          <cell r="AG362" t="str">
            <v xml:space="preserve">       a.  Admissions</v>
          </cell>
          <cell r="AH362">
            <v>0</v>
          </cell>
          <cell r="AI362">
            <v>125</v>
          </cell>
          <cell r="AJ362">
            <v>0</v>
          </cell>
          <cell r="AK362">
            <v>34</v>
          </cell>
          <cell r="AL362">
            <v>0</v>
          </cell>
          <cell r="AM362">
            <v>159</v>
          </cell>
          <cell r="AO362" t="str">
            <v xml:space="preserve">       a.  Admissions</v>
          </cell>
          <cell r="AP362">
            <v>0</v>
          </cell>
          <cell r="AQ362">
            <v>34</v>
          </cell>
          <cell r="AR362">
            <v>0</v>
          </cell>
          <cell r="AS362">
            <v>7</v>
          </cell>
          <cell r="AT362">
            <v>0</v>
          </cell>
          <cell r="AU362">
            <v>41</v>
          </cell>
          <cell r="AW362" t="str">
            <v xml:space="preserve">       a.  Admissions</v>
          </cell>
          <cell r="AX362">
            <v>0</v>
          </cell>
          <cell r="AY362">
            <v>112</v>
          </cell>
          <cell r="AZ362">
            <v>0</v>
          </cell>
          <cell r="BA362">
            <v>14</v>
          </cell>
          <cell r="BB362">
            <v>0</v>
          </cell>
          <cell r="BC362">
            <v>126</v>
          </cell>
        </row>
        <row r="363">
          <cell r="A363" t="str">
            <v xml:space="preserve">       b.  Patient Days</v>
          </cell>
          <cell r="B363">
            <v>0</v>
          </cell>
          <cell r="C363">
            <v>76</v>
          </cell>
          <cell r="D363">
            <v>0</v>
          </cell>
          <cell r="E363">
            <v>11</v>
          </cell>
          <cell r="F363">
            <v>0</v>
          </cell>
          <cell r="G363">
            <v>87</v>
          </cell>
          <cell r="I363" t="str">
            <v xml:space="preserve">       b.  Patient Days</v>
          </cell>
          <cell r="J363">
            <v>0</v>
          </cell>
          <cell r="K363">
            <v>170</v>
          </cell>
          <cell r="L363">
            <v>0</v>
          </cell>
          <cell r="M363">
            <v>63</v>
          </cell>
          <cell r="N363">
            <v>0</v>
          </cell>
          <cell r="O363">
            <v>233</v>
          </cell>
          <cell r="Q363" t="str">
            <v xml:space="preserve">       b.  Patient Days</v>
          </cell>
          <cell r="R363">
            <v>0</v>
          </cell>
          <cell r="S363">
            <v>95</v>
          </cell>
          <cell r="T363">
            <v>0</v>
          </cell>
          <cell r="U363">
            <v>6</v>
          </cell>
          <cell r="V363">
            <v>0</v>
          </cell>
          <cell r="W363">
            <v>101</v>
          </cell>
          <cell r="Y363" t="str">
            <v xml:space="preserve">       b.  Patient Days</v>
          </cell>
          <cell r="Z363">
            <v>0</v>
          </cell>
          <cell r="AA363">
            <v>4179</v>
          </cell>
          <cell r="AB363">
            <v>0</v>
          </cell>
          <cell r="AC363">
            <v>826</v>
          </cell>
          <cell r="AD363">
            <v>0</v>
          </cell>
          <cell r="AE363">
            <v>5005</v>
          </cell>
          <cell r="AG363" t="str">
            <v xml:space="preserve">       b.  Patient Days</v>
          </cell>
          <cell r="AH363">
            <v>0</v>
          </cell>
          <cell r="AI363">
            <v>727</v>
          </cell>
          <cell r="AJ363">
            <v>0</v>
          </cell>
          <cell r="AK363">
            <v>221</v>
          </cell>
          <cell r="AL363">
            <v>0</v>
          </cell>
          <cell r="AM363">
            <v>948</v>
          </cell>
          <cell r="AO363" t="str">
            <v xml:space="preserve">       b.  Patient Days</v>
          </cell>
          <cell r="AP363">
            <v>0</v>
          </cell>
          <cell r="AQ363">
            <v>165</v>
          </cell>
          <cell r="AR363">
            <v>0</v>
          </cell>
          <cell r="AS363">
            <v>52</v>
          </cell>
          <cell r="AT363">
            <v>0</v>
          </cell>
          <cell r="AU363">
            <v>217</v>
          </cell>
          <cell r="AW363" t="str">
            <v xml:space="preserve">       b.  Patient Days</v>
          </cell>
          <cell r="AX363">
            <v>0</v>
          </cell>
          <cell r="AY363">
            <v>682</v>
          </cell>
          <cell r="AZ363">
            <v>0</v>
          </cell>
          <cell r="BA363">
            <v>52</v>
          </cell>
          <cell r="BB363">
            <v>0</v>
          </cell>
          <cell r="BC363">
            <v>734</v>
          </cell>
        </row>
        <row r="364">
          <cell r="A364" t="str">
            <v xml:space="preserve">       c.  Discharges</v>
          </cell>
          <cell r="B364">
            <v>0</v>
          </cell>
          <cell r="C364">
            <v>18</v>
          </cell>
          <cell r="D364">
            <v>0</v>
          </cell>
          <cell r="E364">
            <v>2</v>
          </cell>
          <cell r="F364">
            <v>0</v>
          </cell>
          <cell r="G364">
            <v>20</v>
          </cell>
          <cell r="I364" t="str">
            <v xml:space="preserve">       c.  Discharges</v>
          </cell>
          <cell r="J364">
            <v>0</v>
          </cell>
          <cell r="K364">
            <v>26</v>
          </cell>
          <cell r="L364">
            <v>0</v>
          </cell>
          <cell r="M364">
            <v>10</v>
          </cell>
          <cell r="N364">
            <v>0</v>
          </cell>
          <cell r="O364">
            <v>36</v>
          </cell>
          <cell r="Q364" t="str">
            <v xml:space="preserve">       c.  Discharges</v>
          </cell>
          <cell r="R364">
            <v>0</v>
          </cell>
          <cell r="S364">
            <v>13</v>
          </cell>
          <cell r="T364">
            <v>0</v>
          </cell>
          <cell r="U364">
            <v>2</v>
          </cell>
          <cell r="V364">
            <v>0</v>
          </cell>
          <cell r="W364">
            <v>15</v>
          </cell>
          <cell r="Y364" t="str">
            <v xml:space="preserve">       c.  Discharges</v>
          </cell>
          <cell r="Z364">
            <v>0</v>
          </cell>
          <cell r="AA364">
            <v>749</v>
          </cell>
          <cell r="AB364">
            <v>0</v>
          </cell>
          <cell r="AC364">
            <v>136</v>
          </cell>
          <cell r="AD364">
            <v>0</v>
          </cell>
          <cell r="AE364">
            <v>885</v>
          </cell>
          <cell r="AG364" t="str">
            <v xml:space="preserve">       c.  Discharges</v>
          </cell>
          <cell r="AH364">
            <v>0</v>
          </cell>
          <cell r="AI364">
            <v>119</v>
          </cell>
          <cell r="AJ364">
            <v>0</v>
          </cell>
          <cell r="AK364">
            <v>28</v>
          </cell>
          <cell r="AL364">
            <v>0</v>
          </cell>
          <cell r="AM364">
            <v>147</v>
          </cell>
          <cell r="AO364" t="str">
            <v xml:space="preserve">       c.  Discharges</v>
          </cell>
          <cell r="AP364">
            <v>0</v>
          </cell>
          <cell r="AQ364">
            <v>31</v>
          </cell>
          <cell r="AR364">
            <v>0</v>
          </cell>
          <cell r="AS364">
            <v>7</v>
          </cell>
          <cell r="AT364">
            <v>0</v>
          </cell>
          <cell r="AU364">
            <v>38</v>
          </cell>
          <cell r="AW364" t="str">
            <v xml:space="preserve">       c.  Discharges</v>
          </cell>
          <cell r="AX364">
            <v>0</v>
          </cell>
          <cell r="AY364">
            <v>113</v>
          </cell>
          <cell r="AZ364">
            <v>0</v>
          </cell>
          <cell r="BA364">
            <v>13</v>
          </cell>
          <cell r="BB364">
            <v>0</v>
          </cell>
          <cell r="BC364">
            <v>126</v>
          </cell>
        </row>
        <row r="365">
          <cell r="A365" t="str">
            <v xml:space="preserve">       d.  Discharge Days</v>
          </cell>
          <cell r="B365">
            <v>0</v>
          </cell>
          <cell r="C365">
            <v>76</v>
          </cell>
          <cell r="D365">
            <v>0</v>
          </cell>
          <cell r="E365">
            <v>11</v>
          </cell>
          <cell r="F365">
            <v>0</v>
          </cell>
          <cell r="G365">
            <v>87</v>
          </cell>
          <cell r="I365" t="str">
            <v xml:space="preserve">       d.  Discharge Days</v>
          </cell>
          <cell r="J365">
            <v>0</v>
          </cell>
          <cell r="K365">
            <v>131</v>
          </cell>
          <cell r="L365">
            <v>0</v>
          </cell>
          <cell r="M365">
            <v>58</v>
          </cell>
          <cell r="N365">
            <v>0</v>
          </cell>
          <cell r="O365">
            <v>189</v>
          </cell>
          <cell r="Q365" t="str">
            <v xml:space="preserve">       d.  Discharge Days</v>
          </cell>
          <cell r="R365">
            <v>0</v>
          </cell>
          <cell r="S365">
            <v>65</v>
          </cell>
          <cell r="T365">
            <v>0</v>
          </cell>
          <cell r="U365">
            <v>6</v>
          </cell>
          <cell r="V365">
            <v>0</v>
          </cell>
          <cell r="W365">
            <v>71</v>
          </cell>
          <cell r="Y365" t="str">
            <v xml:space="preserve">       d.  Discharge Days</v>
          </cell>
          <cell r="Z365">
            <v>0</v>
          </cell>
          <cell r="AA365">
            <v>3294</v>
          </cell>
          <cell r="AB365">
            <v>0</v>
          </cell>
          <cell r="AC365">
            <v>668</v>
          </cell>
          <cell r="AD365">
            <v>0</v>
          </cell>
          <cell r="AE365">
            <v>3962</v>
          </cell>
          <cell r="AG365" t="str">
            <v xml:space="preserve">       d.  Discharge Days</v>
          </cell>
          <cell r="AH365">
            <v>0</v>
          </cell>
          <cell r="AI365">
            <v>586</v>
          </cell>
          <cell r="AJ365">
            <v>0</v>
          </cell>
          <cell r="AK365">
            <v>142</v>
          </cell>
          <cell r="AL365">
            <v>0</v>
          </cell>
          <cell r="AM365">
            <v>728</v>
          </cell>
          <cell r="AO365" t="str">
            <v xml:space="preserve">       d.  Discharge Days</v>
          </cell>
          <cell r="AP365">
            <v>0</v>
          </cell>
          <cell r="AQ365">
            <v>128</v>
          </cell>
          <cell r="AR365">
            <v>0</v>
          </cell>
          <cell r="AS365">
            <v>33</v>
          </cell>
          <cell r="AT365">
            <v>0</v>
          </cell>
          <cell r="AU365">
            <v>161</v>
          </cell>
          <cell r="AW365" t="str">
            <v xml:space="preserve">       d.  Discharge Days</v>
          </cell>
          <cell r="AX365">
            <v>0</v>
          </cell>
          <cell r="AY365">
            <v>519</v>
          </cell>
          <cell r="AZ365">
            <v>0</v>
          </cell>
          <cell r="BA365">
            <v>48</v>
          </cell>
          <cell r="BB365">
            <v>0</v>
          </cell>
          <cell r="BC365">
            <v>567</v>
          </cell>
        </row>
        <row r="366">
          <cell r="A366" t="str">
            <v xml:space="preserve">       e.  Average Length of Stay</v>
          </cell>
          <cell r="B366">
            <v>0</v>
          </cell>
          <cell r="C366">
            <v>4.2222222222222223</v>
          </cell>
          <cell r="D366">
            <v>0</v>
          </cell>
          <cell r="E366">
            <v>5.5</v>
          </cell>
          <cell r="F366">
            <v>0</v>
          </cell>
          <cell r="G366">
            <v>4.3499999999999996</v>
          </cell>
          <cell r="I366" t="str">
            <v xml:space="preserve">       e.  Average Length of Stay</v>
          </cell>
          <cell r="J366">
            <v>0</v>
          </cell>
          <cell r="K366">
            <v>5.0384615384615383</v>
          </cell>
          <cell r="L366">
            <v>0</v>
          </cell>
          <cell r="M366">
            <v>5.8</v>
          </cell>
          <cell r="N366">
            <v>0</v>
          </cell>
          <cell r="O366">
            <v>5.25</v>
          </cell>
          <cell r="Q366" t="str">
            <v xml:space="preserve">       e.  Average Length of Stay</v>
          </cell>
          <cell r="R366">
            <v>0</v>
          </cell>
          <cell r="S366">
            <v>5</v>
          </cell>
          <cell r="T366">
            <v>0</v>
          </cell>
          <cell r="U366">
            <v>3</v>
          </cell>
          <cell r="V366">
            <v>0</v>
          </cell>
          <cell r="W366">
            <v>4.7333333333333334</v>
          </cell>
          <cell r="Y366" t="str">
            <v xml:space="preserve">       e.  Average Length of Stay</v>
          </cell>
          <cell r="Z366">
            <v>0</v>
          </cell>
          <cell r="AA366">
            <v>4.3978638184245664</v>
          </cell>
          <cell r="AB366">
            <v>0</v>
          </cell>
          <cell r="AC366">
            <v>4.9117647058823533</v>
          </cell>
          <cell r="AD366">
            <v>0</v>
          </cell>
          <cell r="AE366">
            <v>4.4768361581920901</v>
          </cell>
          <cell r="AG366" t="str">
            <v xml:space="preserve">       e.  Average Length of Stay</v>
          </cell>
          <cell r="AH366">
            <v>0</v>
          </cell>
          <cell r="AI366">
            <v>4.9243697478991599</v>
          </cell>
          <cell r="AJ366">
            <v>0</v>
          </cell>
          <cell r="AK366">
            <v>5.0714285714285712</v>
          </cell>
          <cell r="AL366">
            <v>0</v>
          </cell>
          <cell r="AM366">
            <v>4.9523809523809526</v>
          </cell>
          <cell r="AO366" t="str">
            <v xml:space="preserve">       e.  Average Length of Stay</v>
          </cell>
          <cell r="AP366">
            <v>0</v>
          </cell>
          <cell r="AQ366">
            <v>4.129032258064516</v>
          </cell>
          <cell r="AR366">
            <v>0</v>
          </cell>
          <cell r="AS366">
            <v>4.7142857142857144</v>
          </cell>
          <cell r="AT366">
            <v>0</v>
          </cell>
          <cell r="AU366">
            <v>4.2368421052631575</v>
          </cell>
          <cell r="AW366" t="str">
            <v xml:space="preserve">       e.  Average Length of Stay</v>
          </cell>
          <cell r="AX366">
            <v>0</v>
          </cell>
          <cell r="AY366">
            <v>4.5929203539823007</v>
          </cell>
          <cell r="AZ366">
            <v>0</v>
          </cell>
          <cell r="BA366">
            <v>3.6923076923076925</v>
          </cell>
          <cell r="BB366">
            <v>0</v>
          </cell>
          <cell r="BC366">
            <v>4.5</v>
          </cell>
        </row>
        <row r="368">
          <cell r="A368" t="str">
            <v>D.   Emergency Room Visits</v>
          </cell>
          <cell r="B368">
            <v>0</v>
          </cell>
          <cell r="C368">
            <v>8</v>
          </cell>
          <cell r="D368">
            <v>0</v>
          </cell>
          <cell r="E368">
            <v>3</v>
          </cell>
          <cell r="F368">
            <v>0</v>
          </cell>
          <cell r="G368">
            <v>11</v>
          </cell>
          <cell r="I368" t="str">
            <v>D.   Emergency Room Visits</v>
          </cell>
          <cell r="J368">
            <v>0</v>
          </cell>
          <cell r="K368">
            <v>18</v>
          </cell>
          <cell r="L368">
            <v>0</v>
          </cell>
          <cell r="M368">
            <v>10</v>
          </cell>
          <cell r="N368">
            <v>0</v>
          </cell>
          <cell r="O368">
            <v>28</v>
          </cell>
          <cell r="Q368" t="str">
            <v>D.   Emergency Room Visits</v>
          </cell>
          <cell r="R368">
            <v>0</v>
          </cell>
          <cell r="S368">
            <v>9</v>
          </cell>
          <cell r="T368">
            <v>0</v>
          </cell>
          <cell r="U368">
            <v>1</v>
          </cell>
          <cell r="V368">
            <v>0</v>
          </cell>
          <cell r="W368">
            <v>10</v>
          </cell>
          <cell r="Y368" t="str">
            <v>D.   Emergency Room Visits</v>
          </cell>
          <cell r="Z368">
            <v>0</v>
          </cell>
          <cell r="AA368">
            <v>247</v>
          </cell>
          <cell r="AB368">
            <v>0</v>
          </cell>
          <cell r="AC368">
            <v>131</v>
          </cell>
          <cell r="AD368">
            <v>0</v>
          </cell>
          <cell r="AE368">
            <v>378</v>
          </cell>
          <cell r="AG368" t="str">
            <v>D.   Emergency Room Visits</v>
          </cell>
          <cell r="AH368">
            <v>0</v>
          </cell>
          <cell r="AI368">
            <v>102</v>
          </cell>
          <cell r="AJ368">
            <v>0</v>
          </cell>
          <cell r="AK368">
            <v>32</v>
          </cell>
          <cell r="AL368">
            <v>0</v>
          </cell>
          <cell r="AM368">
            <v>134</v>
          </cell>
          <cell r="AO368" t="str">
            <v>D.   Emergency Room Visits</v>
          </cell>
          <cell r="AP368">
            <v>0</v>
          </cell>
          <cell r="AQ368">
            <v>27</v>
          </cell>
          <cell r="AR368">
            <v>0</v>
          </cell>
          <cell r="AS368">
            <v>12</v>
          </cell>
          <cell r="AT368">
            <v>0</v>
          </cell>
          <cell r="AU368">
            <v>39</v>
          </cell>
          <cell r="AW368" t="str">
            <v>D.   Emergency Room Visits</v>
          </cell>
          <cell r="AX368">
            <v>0</v>
          </cell>
          <cell r="AY368">
            <v>43</v>
          </cell>
          <cell r="AZ368">
            <v>0</v>
          </cell>
          <cell r="BA368">
            <v>10</v>
          </cell>
          <cell r="BB368">
            <v>0</v>
          </cell>
          <cell r="BC368">
            <v>53</v>
          </cell>
        </row>
        <row r="372">
          <cell r="A372" t="str">
            <v>Program Contractor Financial Reporting Systems - Report #11A Utilization Data Report by County</v>
          </cell>
          <cell r="I372" t="str">
            <v>Program Contractor Financial Reporting Systems - Report #11A Utilization Data Report by County</v>
          </cell>
          <cell r="Q372" t="str">
            <v>Program Contractor Financial Reporting Systems - Report #11A Utilization Data Report by County</v>
          </cell>
          <cell r="Y372" t="str">
            <v>Program Contractor Financial Reporting Systems - Report #11A Utilization Data Report by County</v>
          </cell>
          <cell r="AG372" t="str">
            <v>Program Contractor Financial Reporting Systems - Report #11A Utilization Data Report by County</v>
          </cell>
          <cell r="AO372" t="str">
            <v>Program Contractor Financial Reporting Systems - Report #11A Utilization Data Report by County</v>
          </cell>
          <cell r="AW372" t="str">
            <v>Program Contractor Financial Reporting Systems - Report #11A Utilization Data Report by County</v>
          </cell>
        </row>
        <row r="374">
          <cell r="A374" t="str">
            <v>Statement for Program Contractor 110049 - Evercare of Arizona, Inc.</v>
          </cell>
          <cell r="F374" t="str">
            <v>County:</v>
          </cell>
          <cell r="G374" t="str">
            <v>Apache</v>
          </cell>
          <cell r="I374" t="str">
            <v>Statement for Program Contractor 110049 - Evercare of Arizona, Inc.</v>
          </cell>
          <cell r="N374" t="str">
            <v>County:</v>
          </cell>
          <cell r="O374" t="str">
            <v>Coconino</v>
          </cell>
          <cell r="Q374" t="str">
            <v>Statement for Program Contractor 110049 - Evercare of Arizona, Inc.</v>
          </cell>
          <cell r="V374" t="str">
            <v>County:</v>
          </cell>
          <cell r="W374" t="str">
            <v>La Paz</v>
          </cell>
          <cell r="Y374" t="str">
            <v>Statement for Program Contractor 110049 - Evercare of Arizona, Inc.</v>
          </cell>
          <cell r="AD374" t="str">
            <v>County:</v>
          </cell>
          <cell r="AE374" t="str">
            <v>Maricopa</v>
          </cell>
          <cell r="AG374" t="str">
            <v>Statement for Program Contractor 110049 - Evercare of Arizona, Inc.</v>
          </cell>
          <cell r="AL374" t="str">
            <v>County:</v>
          </cell>
          <cell r="AM374" t="str">
            <v>Mohave</v>
          </cell>
          <cell r="AO374" t="str">
            <v>Statement for Program Contractor 110049 - Evercare of Arizona, Inc.</v>
          </cell>
          <cell r="AT374" t="str">
            <v>County:</v>
          </cell>
          <cell r="AU374" t="str">
            <v>Navajo</v>
          </cell>
          <cell r="AW374" t="str">
            <v>Statement for Program Contractor 110049 - Evercare of Arizona, Inc.</v>
          </cell>
          <cell r="BB374" t="str">
            <v>County:</v>
          </cell>
          <cell r="BC374" t="str">
            <v>Yuma</v>
          </cell>
        </row>
        <row r="376">
          <cell r="A376" t="str">
            <v>For the Month ending 6/30/2006 in the Fiscal Year ending 9/30/2006</v>
          </cell>
          <cell r="F376" t="str">
            <v>Page 3 of 21</v>
          </cell>
          <cell r="I376" t="str">
            <v>For the Month ending 6/30/2006 in the Fiscal Year ending 9/30/2006</v>
          </cell>
          <cell r="N376" t="str">
            <v>Page 6 of 21</v>
          </cell>
          <cell r="Q376" t="str">
            <v>For the Month ending 6/30/2006 in the Fiscal Year ending 9/30/2006</v>
          </cell>
          <cell r="V376" t="str">
            <v>Page 9 of 21</v>
          </cell>
          <cell r="Y376" t="str">
            <v>For the Month ending 6/30/2006 in the Fiscal Year ending 9/30/2006</v>
          </cell>
          <cell r="AD376" t="str">
            <v>Page 12 of 21</v>
          </cell>
          <cell r="AG376" t="str">
            <v>For the Month ending 6/30/2006 in the Fiscal Year ending 9/30/2006</v>
          </cell>
          <cell r="AL376" t="str">
            <v>Page 15 of 21</v>
          </cell>
          <cell r="AO376" t="str">
            <v>For the Month ending 6/30/2006 in the Fiscal Year ending 9/30/2006</v>
          </cell>
          <cell r="AT376" t="str">
            <v>Page 18 of 21</v>
          </cell>
          <cell r="AW376" t="str">
            <v>For the Month ending 6/30/2006 in the Fiscal Year ending 9/30/2006</v>
          </cell>
          <cell r="BB376" t="str">
            <v>Page 21 of 21</v>
          </cell>
        </row>
        <row r="379">
          <cell r="A379" t="str">
            <v>Utilization Data Report by County</v>
          </cell>
          <cell r="I379" t="str">
            <v>Utilization Data Report by County</v>
          </cell>
          <cell r="Q379" t="str">
            <v>Utilization Data Report by County</v>
          </cell>
          <cell r="Y379" t="str">
            <v>Utilization Data Report by County</v>
          </cell>
          <cell r="AG379" t="str">
            <v>Utilization Data Report by County</v>
          </cell>
          <cell r="AO379" t="str">
            <v>Utilization Data Report by County</v>
          </cell>
          <cell r="AW379" t="str">
            <v>Utilization Data Report by County</v>
          </cell>
        </row>
        <row r="381">
          <cell r="B381" t="str">
            <v>MEDICARE</v>
          </cell>
          <cell r="D381" t="str">
            <v>NON-MEDICARE</v>
          </cell>
          <cell r="F381" t="str">
            <v>TOTAL</v>
          </cell>
          <cell r="J381" t="str">
            <v>MEDICARE</v>
          </cell>
          <cell r="L381" t="str">
            <v>NON-MEDICARE</v>
          </cell>
          <cell r="N381" t="str">
            <v>TOTAL</v>
          </cell>
          <cell r="R381" t="str">
            <v>MEDICARE</v>
          </cell>
          <cell r="T381" t="str">
            <v>NON-MEDICARE</v>
          </cell>
          <cell r="V381" t="str">
            <v>TOTAL</v>
          </cell>
          <cell r="Z381" t="str">
            <v>MEDICARE</v>
          </cell>
          <cell r="AB381" t="str">
            <v>NON-MEDICARE</v>
          </cell>
          <cell r="AD381" t="str">
            <v>TOTAL</v>
          </cell>
          <cell r="AH381" t="str">
            <v>MEDICARE</v>
          </cell>
          <cell r="AJ381" t="str">
            <v>NON-MEDICARE</v>
          </cell>
          <cell r="AL381" t="str">
            <v>TOTAL</v>
          </cell>
          <cell r="AP381" t="str">
            <v>MEDICARE</v>
          </cell>
          <cell r="AR381" t="str">
            <v>NON-MEDICARE</v>
          </cell>
          <cell r="AT381" t="str">
            <v>TOTAL</v>
          </cell>
          <cell r="AX381" t="str">
            <v>MEDICARE</v>
          </cell>
          <cell r="AZ381" t="str">
            <v>NON-MEDICARE</v>
          </cell>
          <cell r="BB381" t="str">
            <v>TOTAL</v>
          </cell>
        </row>
        <row r="382">
          <cell r="A382" t="str">
            <v>ITEM DESCRIPTION</v>
          </cell>
          <cell r="B382" t="str">
            <v>Current</v>
          </cell>
          <cell r="D382" t="str">
            <v>Current</v>
          </cell>
          <cell r="F382" t="str">
            <v>Current</v>
          </cell>
          <cell r="I382" t="str">
            <v>ITEM DESCRIPTION</v>
          </cell>
          <cell r="J382" t="str">
            <v>Current</v>
          </cell>
          <cell r="L382" t="str">
            <v>Current</v>
          </cell>
          <cell r="N382" t="str">
            <v>Current</v>
          </cell>
          <cell r="Q382" t="str">
            <v>ITEM DESCRIPTION</v>
          </cell>
          <cell r="R382" t="str">
            <v>Current</v>
          </cell>
          <cell r="T382" t="str">
            <v>Current</v>
          </cell>
          <cell r="V382" t="str">
            <v>Current</v>
          </cell>
          <cell r="Y382" t="str">
            <v>ITEM DESCRIPTION</v>
          </cell>
          <cell r="Z382" t="str">
            <v>Current</v>
          </cell>
          <cell r="AB382" t="str">
            <v>Current</v>
          </cell>
          <cell r="AD382" t="str">
            <v>Current</v>
          </cell>
          <cell r="AG382" t="str">
            <v>ITEM DESCRIPTION</v>
          </cell>
          <cell r="AH382" t="str">
            <v>Current</v>
          </cell>
          <cell r="AJ382" t="str">
            <v>Current</v>
          </cell>
          <cell r="AL382" t="str">
            <v>Current</v>
          </cell>
          <cell r="AO382" t="str">
            <v>ITEM DESCRIPTION</v>
          </cell>
          <cell r="AP382" t="str">
            <v>Current</v>
          </cell>
          <cell r="AR382" t="str">
            <v>Current</v>
          </cell>
          <cell r="AT382" t="str">
            <v>Current</v>
          </cell>
          <cell r="AW382" t="str">
            <v>ITEM DESCRIPTION</v>
          </cell>
          <cell r="AX382" t="str">
            <v>Current</v>
          </cell>
          <cell r="AZ382" t="str">
            <v>Current</v>
          </cell>
          <cell r="BB382" t="str">
            <v>Current</v>
          </cell>
        </row>
        <row r="383">
          <cell r="B383" t="str">
            <v>Period</v>
          </cell>
          <cell r="C383" t="str">
            <v>YTD</v>
          </cell>
          <cell r="D383" t="str">
            <v>Period</v>
          </cell>
          <cell r="E383" t="str">
            <v>YTD</v>
          </cell>
          <cell r="F383" t="str">
            <v>Period</v>
          </cell>
          <cell r="G383" t="str">
            <v>YTD</v>
          </cell>
          <cell r="J383" t="str">
            <v>Period</v>
          </cell>
          <cell r="K383" t="str">
            <v>YTD</v>
          </cell>
          <cell r="L383" t="str">
            <v>Period</v>
          </cell>
          <cell r="M383" t="str">
            <v>YTD</v>
          </cell>
          <cell r="N383" t="str">
            <v>Period</v>
          </cell>
          <cell r="O383" t="str">
            <v>YTD</v>
          </cell>
          <cell r="R383" t="str">
            <v>Period</v>
          </cell>
          <cell r="S383" t="str">
            <v>YTD</v>
          </cell>
          <cell r="T383" t="str">
            <v>Period</v>
          </cell>
          <cell r="U383" t="str">
            <v>YTD</v>
          </cell>
          <cell r="V383" t="str">
            <v>Period</v>
          </cell>
          <cell r="W383" t="str">
            <v>YTD</v>
          </cell>
          <cell r="Z383" t="str">
            <v>Period</v>
          </cell>
          <cell r="AA383" t="str">
            <v>YTD</v>
          </cell>
          <cell r="AB383" t="str">
            <v>Period</v>
          </cell>
          <cell r="AC383" t="str">
            <v>YTD</v>
          </cell>
          <cell r="AD383" t="str">
            <v>Period</v>
          </cell>
          <cell r="AE383" t="str">
            <v>YTD</v>
          </cell>
          <cell r="AH383" t="str">
            <v>Period</v>
          </cell>
          <cell r="AI383" t="str">
            <v>YTD</v>
          </cell>
          <cell r="AJ383" t="str">
            <v>Period</v>
          </cell>
          <cell r="AK383" t="str">
            <v>YTD</v>
          </cell>
          <cell r="AL383" t="str">
            <v>Period</v>
          </cell>
          <cell r="AM383" t="str">
            <v>YTD</v>
          </cell>
          <cell r="AP383" t="str">
            <v>Period</v>
          </cell>
          <cell r="AQ383" t="str">
            <v>YTD</v>
          </cell>
          <cell r="AR383" t="str">
            <v>Period</v>
          </cell>
          <cell r="AS383" t="str">
            <v>YTD</v>
          </cell>
          <cell r="AT383" t="str">
            <v>Period</v>
          </cell>
          <cell r="AU383" t="str">
            <v>YTD</v>
          </cell>
          <cell r="AX383" t="str">
            <v>Period</v>
          </cell>
          <cell r="AY383" t="str">
            <v>YTD</v>
          </cell>
          <cell r="AZ383" t="str">
            <v>Period</v>
          </cell>
          <cell r="BA383" t="str">
            <v>YTD</v>
          </cell>
          <cell r="BB383" t="str">
            <v>Period</v>
          </cell>
          <cell r="BC383" t="str">
            <v>YTD</v>
          </cell>
        </row>
        <row r="384">
          <cell r="A384" t="str">
            <v>A.   Enrollees (At End of Period)</v>
          </cell>
          <cell r="B384">
            <v>0</v>
          </cell>
          <cell r="D384">
            <v>0</v>
          </cell>
          <cell r="F384">
            <v>0</v>
          </cell>
          <cell r="I384" t="str">
            <v>A.   Enrollees (At End of Period)</v>
          </cell>
          <cell r="J384">
            <v>0</v>
          </cell>
          <cell r="L384">
            <v>0</v>
          </cell>
          <cell r="N384">
            <v>0</v>
          </cell>
          <cell r="Q384" t="str">
            <v>A.   Enrollees (At End of Period)</v>
          </cell>
          <cell r="R384">
            <v>0</v>
          </cell>
          <cell r="T384">
            <v>0</v>
          </cell>
          <cell r="V384">
            <v>0</v>
          </cell>
          <cell r="Y384" t="str">
            <v>A.   Enrollees (At End of Period)</v>
          </cell>
          <cell r="Z384">
            <v>0</v>
          </cell>
          <cell r="AB384">
            <v>0</v>
          </cell>
          <cell r="AD384">
            <v>0</v>
          </cell>
          <cell r="AG384" t="str">
            <v>A.   Enrollees (At End of Period)</v>
          </cell>
          <cell r="AH384">
            <v>0</v>
          </cell>
          <cell r="AJ384">
            <v>0</v>
          </cell>
          <cell r="AL384">
            <v>0</v>
          </cell>
          <cell r="AO384" t="str">
            <v>A.   Enrollees (At End of Period)</v>
          </cell>
          <cell r="AP384">
            <v>0</v>
          </cell>
          <cell r="AR384">
            <v>0</v>
          </cell>
          <cell r="AT384">
            <v>0</v>
          </cell>
          <cell r="AW384" t="str">
            <v>A.   Enrollees (At End of Period)</v>
          </cell>
          <cell r="AX384">
            <v>0</v>
          </cell>
          <cell r="AZ384">
            <v>0</v>
          </cell>
          <cell r="BB384">
            <v>0</v>
          </cell>
        </row>
        <row r="386">
          <cell r="A386" t="str">
            <v>B.   Member Months (Unduplicated)</v>
          </cell>
          <cell r="B386">
            <v>0</v>
          </cell>
          <cell r="C386">
            <v>190.88669999999996</v>
          </cell>
          <cell r="D386">
            <v>0</v>
          </cell>
          <cell r="E386">
            <v>54.75</v>
          </cell>
          <cell r="F386">
            <v>0</v>
          </cell>
          <cell r="G386">
            <v>245.63669999999996</v>
          </cell>
          <cell r="I386" t="str">
            <v>B.   Member Months (Unduplicated)</v>
          </cell>
          <cell r="J386">
            <v>0</v>
          </cell>
          <cell r="K386">
            <v>513.7274000000001</v>
          </cell>
          <cell r="L386">
            <v>0</v>
          </cell>
          <cell r="M386">
            <v>110.61330000000001</v>
          </cell>
          <cell r="N386">
            <v>0</v>
          </cell>
          <cell r="O386">
            <v>624.34070000000008</v>
          </cell>
          <cell r="Q386" t="str">
            <v>B.   Member Months (Unduplicated)</v>
          </cell>
          <cell r="R386">
            <v>0</v>
          </cell>
          <cell r="S386">
            <v>222.08120000000002</v>
          </cell>
          <cell r="T386">
            <v>0</v>
          </cell>
          <cell r="U386">
            <v>17.07</v>
          </cell>
          <cell r="V386">
            <v>0</v>
          </cell>
          <cell r="W386">
            <v>239.15120000000002</v>
          </cell>
          <cell r="Y386" t="str">
            <v>B.   Member Months (Unduplicated)</v>
          </cell>
          <cell r="Z386">
            <v>0</v>
          </cell>
          <cell r="AA386">
            <v>13367.081800000002</v>
          </cell>
          <cell r="AB386">
            <v>0</v>
          </cell>
          <cell r="AC386">
            <v>1964.4491000000003</v>
          </cell>
          <cell r="AD386">
            <v>0</v>
          </cell>
          <cell r="AE386">
            <v>15331.530900000002</v>
          </cell>
          <cell r="AG386" t="str">
            <v>B.   Member Months (Unduplicated)</v>
          </cell>
          <cell r="AH386">
            <v>0</v>
          </cell>
          <cell r="AI386">
            <v>2465.0030999999999</v>
          </cell>
          <cell r="AJ386">
            <v>0</v>
          </cell>
          <cell r="AK386">
            <v>338.37329999999997</v>
          </cell>
          <cell r="AL386">
            <v>0</v>
          </cell>
          <cell r="AM386">
            <v>2803.3764000000001</v>
          </cell>
          <cell r="AO386" t="str">
            <v>B.   Member Months (Unduplicated)</v>
          </cell>
          <cell r="AP386">
            <v>0</v>
          </cell>
          <cell r="AQ386">
            <v>588.85000000000014</v>
          </cell>
          <cell r="AR386">
            <v>0</v>
          </cell>
          <cell r="AS386">
            <v>145.74229999999997</v>
          </cell>
          <cell r="AT386">
            <v>0</v>
          </cell>
          <cell r="AU386">
            <v>734.59230000000014</v>
          </cell>
          <cell r="AW386" t="str">
            <v>B.   Member Months (Unduplicated)</v>
          </cell>
          <cell r="AX386">
            <v>0</v>
          </cell>
          <cell r="AY386">
            <v>1674.2218</v>
          </cell>
          <cell r="AZ386">
            <v>0</v>
          </cell>
          <cell r="BA386">
            <v>331.96999999999997</v>
          </cell>
          <cell r="BB386">
            <v>0</v>
          </cell>
          <cell r="BC386">
            <v>2006.1918000000001</v>
          </cell>
        </row>
        <row r="387">
          <cell r="A387" t="str">
            <v xml:space="preserve">   Institutional Member Months Total</v>
          </cell>
          <cell r="B387">
            <v>0</v>
          </cell>
          <cell r="C387">
            <v>15.7</v>
          </cell>
          <cell r="D387">
            <v>0</v>
          </cell>
          <cell r="E387">
            <v>11.14</v>
          </cell>
          <cell r="F387">
            <v>0</v>
          </cell>
          <cell r="G387">
            <v>26.84</v>
          </cell>
          <cell r="I387" t="str">
            <v xml:space="preserve">   Institutional Member Months Total</v>
          </cell>
          <cell r="J387">
            <v>0</v>
          </cell>
          <cell r="K387">
            <v>190.48</v>
          </cell>
          <cell r="L387">
            <v>0</v>
          </cell>
          <cell r="M387">
            <v>12.73</v>
          </cell>
          <cell r="N387">
            <v>0</v>
          </cell>
          <cell r="O387">
            <v>203.20999999999998</v>
          </cell>
          <cell r="Q387" t="str">
            <v xml:space="preserve">   Institutional Member Months Total</v>
          </cell>
          <cell r="R387">
            <v>0</v>
          </cell>
          <cell r="S387">
            <v>122.66999999999999</v>
          </cell>
          <cell r="T387">
            <v>0</v>
          </cell>
          <cell r="U387">
            <v>3</v>
          </cell>
          <cell r="V387">
            <v>0</v>
          </cell>
          <cell r="W387">
            <v>125.66999999999999</v>
          </cell>
          <cell r="Y387" t="str">
            <v xml:space="preserve">   Institutional Member Months Total</v>
          </cell>
          <cell r="Z387">
            <v>0</v>
          </cell>
          <cell r="AA387">
            <v>5378.2800000000007</v>
          </cell>
          <cell r="AB387">
            <v>0</v>
          </cell>
          <cell r="AC387">
            <v>460.42000000000007</v>
          </cell>
          <cell r="AD387">
            <v>0</v>
          </cell>
          <cell r="AE387">
            <v>5838.7000000000007</v>
          </cell>
          <cell r="AG387" t="str">
            <v xml:space="preserve">   Institutional Member Months Total</v>
          </cell>
          <cell r="AH387">
            <v>0</v>
          </cell>
          <cell r="AI387">
            <v>1342.8</v>
          </cell>
          <cell r="AJ387">
            <v>0</v>
          </cell>
          <cell r="AK387">
            <v>92.289999999999992</v>
          </cell>
          <cell r="AL387">
            <v>0</v>
          </cell>
          <cell r="AM387">
            <v>1435.09</v>
          </cell>
          <cell r="AO387" t="str">
            <v xml:space="preserve">   Institutional Member Months Total</v>
          </cell>
          <cell r="AP387">
            <v>0</v>
          </cell>
          <cell r="AQ387">
            <v>111.26</v>
          </cell>
          <cell r="AR387">
            <v>0</v>
          </cell>
          <cell r="AS387">
            <v>25.259999999999998</v>
          </cell>
          <cell r="AT387">
            <v>0</v>
          </cell>
          <cell r="AU387">
            <v>136.52000000000001</v>
          </cell>
          <cell r="AW387" t="str">
            <v xml:space="preserve">   Institutional Member Months Total</v>
          </cell>
          <cell r="AX387">
            <v>0</v>
          </cell>
          <cell r="AY387">
            <v>878.52</v>
          </cell>
          <cell r="AZ387">
            <v>0</v>
          </cell>
          <cell r="BA387">
            <v>113.56</v>
          </cell>
          <cell r="BB387">
            <v>0</v>
          </cell>
          <cell r="BC387">
            <v>992.07999999999993</v>
          </cell>
        </row>
        <row r="388">
          <cell r="A388" t="str">
            <v xml:space="preserve">   1.  Level I</v>
          </cell>
          <cell r="B388">
            <v>0</v>
          </cell>
          <cell r="C388">
            <v>6.81</v>
          </cell>
          <cell r="D388">
            <v>0</v>
          </cell>
          <cell r="E388">
            <v>8.14</v>
          </cell>
          <cell r="F388">
            <v>0</v>
          </cell>
          <cell r="G388">
            <v>14.95</v>
          </cell>
          <cell r="I388" t="str">
            <v xml:space="preserve">   1.  Level I</v>
          </cell>
          <cell r="J388">
            <v>0</v>
          </cell>
          <cell r="K388">
            <v>86.49</v>
          </cell>
          <cell r="L388">
            <v>0</v>
          </cell>
          <cell r="M388">
            <v>8.23</v>
          </cell>
          <cell r="N388">
            <v>0</v>
          </cell>
          <cell r="O388">
            <v>94.72</v>
          </cell>
          <cell r="Q388" t="str">
            <v xml:space="preserve">   1.  Level I</v>
          </cell>
          <cell r="R388">
            <v>0</v>
          </cell>
          <cell r="S388">
            <v>78.349999999999994</v>
          </cell>
          <cell r="T388">
            <v>0</v>
          </cell>
          <cell r="U388">
            <v>0</v>
          </cell>
          <cell r="V388">
            <v>0</v>
          </cell>
          <cell r="W388">
            <v>78.349999999999994</v>
          </cell>
          <cell r="Y388" t="str">
            <v xml:space="preserve">   1.  Level I</v>
          </cell>
          <cell r="Z388">
            <v>0</v>
          </cell>
          <cell r="AA388">
            <v>3650.05</v>
          </cell>
          <cell r="AB388">
            <v>0</v>
          </cell>
          <cell r="AC388">
            <v>288.17</v>
          </cell>
          <cell r="AD388">
            <v>0</v>
          </cell>
          <cell r="AE388">
            <v>3938.2200000000003</v>
          </cell>
          <cell r="AG388" t="str">
            <v xml:space="preserve">   1.  Level I</v>
          </cell>
          <cell r="AH388">
            <v>0</v>
          </cell>
          <cell r="AI388">
            <v>607.04999999999995</v>
          </cell>
          <cell r="AJ388">
            <v>0</v>
          </cell>
          <cell r="AK388">
            <v>46.1</v>
          </cell>
          <cell r="AL388">
            <v>0</v>
          </cell>
          <cell r="AM388">
            <v>653.15</v>
          </cell>
          <cell r="AO388" t="str">
            <v xml:space="preserve">   1.  Level I</v>
          </cell>
          <cell r="AP388">
            <v>0</v>
          </cell>
          <cell r="AQ388">
            <v>64.41</v>
          </cell>
          <cell r="AR388">
            <v>0</v>
          </cell>
          <cell r="AS388">
            <v>22.259999999999998</v>
          </cell>
          <cell r="AT388">
            <v>0</v>
          </cell>
          <cell r="AU388">
            <v>86.669999999999987</v>
          </cell>
          <cell r="AW388" t="str">
            <v xml:space="preserve">   1.  Level I</v>
          </cell>
          <cell r="AX388">
            <v>0</v>
          </cell>
          <cell r="AY388">
            <v>471.98</v>
          </cell>
          <cell r="AZ388">
            <v>0</v>
          </cell>
          <cell r="BA388">
            <v>69.94</v>
          </cell>
          <cell r="BB388">
            <v>0</v>
          </cell>
          <cell r="BC388">
            <v>541.92000000000007</v>
          </cell>
        </row>
        <row r="389">
          <cell r="A389" t="str">
            <v xml:space="preserve">   2.  Level II</v>
          </cell>
          <cell r="B389">
            <v>0</v>
          </cell>
          <cell r="C389">
            <v>6.73</v>
          </cell>
          <cell r="D389">
            <v>0</v>
          </cell>
          <cell r="E389">
            <v>3</v>
          </cell>
          <cell r="F389">
            <v>0</v>
          </cell>
          <cell r="G389">
            <v>9.73</v>
          </cell>
          <cell r="I389" t="str">
            <v xml:space="preserve">   2.  Level II</v>
          </cell>
          <cell r="J389">
            <v>0</v>
          </cell>
          <cell r="K389">
            <v>87.8</v>
          </cell>
          <cell r="L389">
            <v>0</v>
          </cell>
          <cell r="M389">
            <v>3</v>
          </cell>
          <cell r="N389">
            <v>0</v>
          </cell>
          <cell r="O389">
            <v>90.8</v>
          </cell>
          <cell r="Q389" t="str">
            <v xml:space="preserve">   2.  Level II</v>
          </cell>
          <cell r="R389">
            <v>0</v>
          </cell>
          <cell r="S389">
            <v>37.57</v>
          </cell>
          <cell r="T389">
            <v>0</v>
          </cell>
          <cell r="U389">
            <v>3</v>
          </cell>
          <cell r="V389">
            <v>0</v>
          </cell>
          <cell r="W389">
            <v>40.57</v>
          </cell>
          <cell r="Y389" t="str">
            <v xml:space="preserve">   2.  Level II</v>
          </cell>
          <cell r="Z389">
            <v>0</v>
          </cell>
          <cell r="AA389">
            <v>1526.49</v>
          </cell>
          <cell r="AB389">
            <v>0</v>
          </cell>
          <cell r="AC389">
            <v>127.19</v>
          </cell>
          <cell r="AD389">
            <v>0</v>
          </cell>
          <cell r="AE389">
            <v>1653.68</v>
          </cell>
          <cell r="AG389" t="str">
            <v xml:space="preserve">   2.  Level II</v>
          </cell>
          <cell r="AH389">
            <v>0</v>
          </cell>
          <cell r="AI389">
            <v>602.55999999999995</v>
          </cell>
          <cell r="AJ389">
            <v>0</v>
          </cell>
          <cell r="AK389">
            <v>28.279999999999998</v>
          </cell>
          <cell r="AL389">
            <v>0</v>
          </cell>
          <cell r="AM389">
            <v>630.83999999999992</v>
          </cell>
          <cell r="AO389" t="str">
            <v xml:space="preserve">   2.  Level II</v>
          </cell>
          <cell r="AP389">
            <v>0</v>
          </cell>
          <cell r="AQ389">
            <v>39.450000000000003</v>
          </cell>
          <cell r="AR389">
            <v>0</v>
          </cell>
          <cell r="AS389">
            <v>3</v>
          </cell>
          <cell r="AT389">
            <v>0</v>
          </cell>
          <cell r="AU389">
            <v>42.45</v>
          </cell>
          <cell r="AW389" t="str">
            <v xml:space="preserve">   2.  Level II</v>
          </cell>
          <cell r="AX389">
            <v>0</v>
          </cell>
          <cell r="AY389">
            <v>357.26</v>
          </cell>
          <cell r="AZ389">
            <v>0</v>
          </cell>
          <cell r="BA389">
            <v>27.619999999999997</v>
          </cell>
          <cell r="BB389">
            <v>0</v>
          </cell>
          <cell r="BC389">
            <v>384.88</v>
          </cell>
        </row>
        <row r="390">
          <cell r="A390" t="str">
            <v xml:space="preserve">   3.  Level III</v>
          </cell>
          <cell r="B390">
            <v>0</v>
          </cell>
          <cell r="C390">
            <v>2.16</v>
          </cell>
          <cell r="D390">
            <v>0</v>
          </cell>
          <cell r="E390">
            <v>0</v>
          </cell>
          <cell r="F390">
            <v>0</v>
          </cell>
          <cell r="G390">
            <v>2.16</v>
          </cell>
          <cell r="I390" t="str">
            <v xml:space="preserve">   3.  Level III</v>
          </cell>
          <cell r="J390">
            <v>0</v>
          </cell>
          <cell r="K390">
            <v>16.190000000000001</v>
          </cell>
          <cell r="L390">
            <v>0</v>
          </cell>
          <cell r="M390">
            <v>1.5</v>
          </cell>
          <cell r="N390">
            <v>0</v>
          </cell>
          <cell r="O390">
            <v>17.690000000000001</v>
          </cell>
          <cell r="Q390" t="str">
            <v xml:space="preserve">   3.  Level III</v>
          </cell>
          <cell r="R390">
            <v>0</v>
          </cell>
          <cell r="S390">
            <v>6.75</v>
          </cell>
          <cell r="T390">
            <v>0</v>
          </cell>
          <cell r="U390">
            <v>0</v>
          </cell>
          <cell r="V390">
            <v>0</v>
          </cell>
          <cell r="W390">
            <v>6.75</v>
          </cell>
          <cell r="Y390" t="str">
            <v xml:space="preserve">   3.  Level III</v>
          </cell>
          <cell r="Z390">
            <v>0</v>
          </cell>
          <cell r="AA390">
            <v>200.77</v>
          </cell>
          <cell r="AB390">
            <v>0</v>
          </cell>
          <cell r="AC390">
            <v>31.090000000000003</v>
          </cell>
          <cell r="AD390">
            <v>0</v>
          </cell>
          <cell r="AE390">
            <v>231.86</v>
          </cell>
          <cell r="AG390" t="str">
            <v xml:space="preserve">   3.  Level III</v>
          </cell>
          <cell r="AH390">
            <v>0</v>
          </cell>
          <cell r="AI390">
            <v>133.19</v>
          </cell>
          <cell r="AJ390">
            <v>0</v>
          </cell>
          <cell r="AK390">
            <v>17.91</v>
          </cell>
          <cell r="AL390">
            <v>0</v>
          </cell>
          <cell r="AM390">
            <v>151.1</v>
          </cell>
          <cell r="AO390" t="str">
            <v xml:space="preserve">   3.  Level III</v>
          </cell>
          <cell r="AP390">
            <v>0</v>
          </cell>
          <cell r="AQ390">
            <v>0.4</v>
          </cell>
          <cell r="AR390">
            <v>0</v>
          </cell>
          <cell r="AS390">
            <v>0</v>
          </cell>
          <cell r="AT390">
            <v>0</v>
          </cell>
          <cell r="AU390">
            <v>0.4</v>
          </cell>
          <cell r="AW390" t="str">
            <v xml:space="preserve">   3.  Level III</v>
          </cell>
          <cell r="AX390">
            <v>0</v>
          </cell>
          <cell r="AY390">
            <v>49.28</v>
          </cell>
          <cell r="AZ390">
            <v>0</v>
          </cell>
          <cell r="BA390">
            <v>16</v>
          </cell>
          <cell r="BB390">
            <v>0</v>
          </cell>
          <cell r="BC390">
            <v>65.28</v>
          </cell>
        </row>
        <row r="391">
          <cell r="A391" t="str">
            <v xml:space="preserve">   4.  Level IV</v>
          </cell>
          <cell r="B391">
            <v>0</v>
          </cell>
          <cell r="C391">
            <v>0</v>
          </cell>
          <cell r="D391">
            <v>0</v>
          </cell>
          <cell r="E391">
            <v>0</v>
          </cell>
          <cell r="F391">
            <v>0</v>
          </cell>
          <cell r="G391">
            <v>0</v>
          </cell>
          <cell r="I391" t="str">
            <v xml:space="preserve">   4.  Level IV</v>
          </cell>
          <cell r="J391">
            <v>0</v>
          </cell>
          <cell r="K391">
            <v>0</v>
          </cell>
          <cell r="L391">
            <v>0</v>
          </cell>
          <cell r="M391">
            <v>0</v>
          </cell>
          <cell r="N391">
            <v>0</v>
          </cell>
          <cell r="O391">
            <v>0</v>
          </cell>
          <cell r="Q391" t="str">
            <v xml:space="preserve">   4.  Level IV</v>
          </cell>
          <cell r="R391">
            <v>0</v>
          </cell>
          <cell r="S391">
            <v>0</v>
          </cell>
          <cell r="T391">
            <v>0</v>
          </cell>
          <cell r="U391">
            <v>0</v>
          </cell>
          <cell r="V391">
            <v>0</v>
          </cell>
          <cell r="W391">
            <v>0</v>
          </cell>
          <cell r="Y391" t="str">
            <v xml:space="preserve">   4.  Level IV</v>
          </cell>
          <cell r="Z391">
            <v>0</v>
          </cell>
          <cell r="AA391">
            <v>0.97</v>
          </cell>
          <cell r="AB391">
            <v>0</v>
          </cell>
          <cell r="AC391">
            <v>13.969999999999999</v>
          </cell>
          <cell r="AD391">
            <v>0</v>
          </cell>
          <cell r="AE391">
            <v>14.94</v>
          </cell>
          <cell r="AG391" t="str">
            <v xml:space="preserve">   4.  Level IV</v>
          </cell>
          <cell r="AH391">
            <v>0</v>
          </cell>
          <cell r="AI391">
            <v>0</v>
          </cell>
          <cell r="AJ391">
            <v>0</v>
          </cell>
          <cell r="AK391">
            <v>0</v>
          </cell>
          <cell r="AL391">
            <v>0</v>
          </cell>
          <cell r="AM391">
            <v>0</v>
          </cell>
          <cell r="AO391" t="str">
            <v xml:space="preserve">   4.  Level IV</v>
          </cell>
          <cell r="AP391">
            <v>0</v>
          </cell>
          <cell r="AQ391">
            <v>7</v>
          </cell>
          <cell r="AR391">
            <v>0</v>
          </cell>
          <cell r="AS391">
            <v>0</v>
          </cell>
          <cell r="AT391">
            <v>0</v>
          </cell>
          <cell r="AU391">
            <v>7</v>
          </cell>
          <cell r="AW391" t="str">
            <v xml:space="preserve">   4.  Level IV</v>
          </cell>
          <cell r="AX391">
            <v>0</v>
          </cell>
          <cell r="AY391">
            <v>0</v>
          </cell>
          <cell r="AZ391">
            <v>0</v>
          </cell>
          <cell r="BA391">
            <v>0</v>
          </cell>
          <cell r="BB391">
            <v>0</v>
          </cell>
          <cell r="BC391">
            <v>0</v>
          </cell>
        </row>
        <row r="392">
          <cell r="A392" t="str">
            <v xml:space="preserve">   5.</v>
          </cell>
          <cell r="I392" t="str">
            <v xml:space="preserve">   5.</v>
          </cell>
          <cell r="Q392" t="str">
            <v xml:space="preserve">   5.</v>
          </cell>
          <cell r="Y392" t="str">
            <v xml:space="preserve">   5.</v>
          </cell>
          <cell r="AG392" t="str">
            <v xml:space="preserve">   5.</v>
          </cell>
          <cell r="AO392" t="str">
            <v xml:space="preserve">   5.</v>
          </cell>
          <cell r="AW392" t="str">
            <v xml:space="preserve">   5.</v>
          </cell>
        </row>
        <row r="393">
          <cell r="A393" t="str">
            <v xml:space="preserve">   6.</v>
          </cell>
          <cell r="I393" t="str">
            <v xml:space="preserve">   6.</v>
          </cell>
          <cell r="Q393" t="str">
            <v xml:space="preserve">   6.</v>
          </cell>
          <cell r="Y393" t="str">
            <v xml:space="preserve">   6.</v>
          </cell>
          <cell r="AG393" t="str">
            <v xml:space="preserve">   6.</v>
          </cell>
          <cell r="AO393" t="str">
            <v xml:space="preserve">   6.</v>
          </cell>
          <cell r="AW393" t="str">
            <v xml:space="preserve">   6.</v>
          </cell>
        </row>
        <row r="394">
          <cell r="A394" t="str">
            <v xml:space="preserve">   7.  Home and Community Based Services (HCBS) Total</v>
          </cell>
          <cell r="B394">
            <v>0</v>
          </cell>
          <cell r="C394">
            <v>193.30999999999997</v>
          </cell>
          <cell r="D394">
            <v>0</v>
          </cell>
          <cell r="E394">
            <v>50.61</v>
          </cell>
          <cell r="F394">
            <v>0</v>
          </cell>
          <cell r="G394">
            <v>243.91999999999996</v>
          </cell>
          <cell r="I394" t="str">
            <v xml:space="preserve">   7.  Home and Community Based Services (HCBS) Total</v>
          </cell>
          <cell r="J394">
            <v>0</v>
          </cell>
          <cell r="K394">
            <v>338.48</v>
          </cell>
          <cell r="L394">
            <v>0</v>
          </cell>
          <cell r="M394">
            <v>88.35</v>
          </cell>
          <cell r="N394">
            <v>0</v>
          </cell>
          <cell r="O394">
            <v>426.83000000000004</v>
          </cell>
          <cell r="Q394" t="str">
            <v xml:space="preserve">   7.  Home and Community Based Services (HCBS) Total</v>
          </cell>
          <cell r="R394">
            <v>0</v>
          </cell>
          <cell r="S394">
            <v>95.550000000000011</v>
          </cell>
          <cell r="T394">
            <v>0</v>
          </cell>
          <cell r="U394">
            <v>14.07</v>
          </cell>
          <cell r="V394">
            <v>0</v>
          </cell>
          <cell r="W394">
            <v>109.62</v>
          </cell>
          <cell r="Y394" t="str">
            <v xml:space="preserve">   7.  Home and Community Based Services (HCBS) Total</v>
          </cell>
          <cell r="Z394">
            <v>0</v>
          </cell>
          <cell r="AA394">
            <v>8554.57</v>
          </cell>
          <cell r="AB394">
            <v>0</v>
          </cell>
          <cell r="AC394">
            <v>1510.57</v>
          </cell>
          <cell r="AD394">
            <v>0</v>
          </cell>
          <cell r="AE394">
            <v>10065.14</v>
          </cell>
          <cell r="AG394" t="str">
            <v xml:space="preserve">   7.  Home and Community Based Services (HCBS) Total</v>
          </cell>
          <cell r="AH394">
            <v>0</v>
          </cell>
          <cell r="AI394">
            <v>1325.78</v>
          </cell>
          <cell r="AJ394">
            <v>0</v>
          </cell>
          <cell r="AK394">
            <v>251.34</v>
          </cell>
          <cell r="AL394">
            <v>0</v>
          </cell>
          <cell r="AM394">
            <v>1577.12</v>
          </cell>
          <cell r="AO394" t="str">
            <v xml:space="preserve">   7.  Home and Community Based Services (HCBS) Total</v>
          </cell>
          <cell r="AP394">
            <v>0</v>
          </cell>
          <cell r="AQ394">
            <v>479.69000000000005</v>
          </cell>
          <cell r="AR394">
            <v>0</v>
          </cell>
          <cell r="AS394">
            <v>135.70999999999998</v>
          </cell>
          <cell r="AT394">
            <v>0</v>
          </cell>
          <cell r="AU394">
            <v>615.40000000000009</v>
          </cell>
          <cell r="AW394" t="str">
            <v xml:space="preserve">   7.  Home and Community Based Services (HCBS) Total</v>
          </cell>
          <cell r="AX394">
            <v>0</v>
          </cell>
          <cell r="AY394">
            <v>1021.8000000000001</v>
          </cell>
          <cell r="AZ394">
            <v>0</v>
          </cell>
          <cell r="BA394">
            <v>258.95</v>
          </cell>
          <cell r="BB394">
            <v>0</v>
          </cell>
          <cell r="BC394">
            <v>1280.75</v>
          </cell>
        </row>
        <row r="395">
          <cell r="A395" t="str">
            <v xml:space="preserve">       a.  Adult Foster Care</v>
          </cell>
          <cell r="B395">
            <v>0</v>
          </cell>
          <cell r="C395">
            <v>0</v>
          </cell>
          <cell r="D395">
            <v>0</v>
          </cell>
          <cell r="E395">
            <v>0</v>
          </cell>
          <cell r="F395">
            <v>0</v>
          </cell>
          <cell r="G395">
            <v>0</v>
          </cell>
          <cell r="I395" t="str">
            <v xml:space="preserve">       a.  Adult Foster Care</v>
          </cell>
          <cell r="J395">
            <v>0</v>
          </cell>
          <cell r="K395">
            <v>0</v>
          </cell>
          <cell r="L395">
            <v>0</v>
          </cell>
          <cell r="M395">
            <v>1.17</v>
          </cell>
          <cell r="N395">
            <v>0</v>
          </cell>
          <cell r="O395">
            <v>1.17</v>
          </cell>
          <cell r="Q395" t="str">
            <v xml:space="preserve">       a.  Adult Foster Care</v>
          </cell>
          <cell r="R395">
            <v>0</v>
          </cell>
          <cell r="S395">
            <v>0</v>
          </cell>
          <cell r="T395">
            <v>0</v>
          </cell>
          <cell r="U395">
            <v>0</v>
          </cell>
          <cell r="V395">
            <v>0</v>
          </cell>
          <cell r="W395">
            <v>0</v>
          </cell>
          <cell r="Y395" t="str">
            <v xml:space="preserve">       a.  Adult Foster Care</v>
          </cell>
          <cell r="Z395">
            <v>0</v>
          </cell>
          <cell r="AA395">
            <v>161.51</v>
          </cell>
          <cell r="AB395">
            <v>0</v>
          </cell>
          <cell r="AC395">
            <v>26.04</v>
          </cell>
          <cell r="AD395">
            <v>0</v>
          </cell>
          <cell r="AE395">
            <v>187.54999999999998</v>
          </cell>
          <cell r="AG395" t="str">
            <v xml:space="preserve">       a.  Adult Foster Care</v>
          </cell>
          <cell r="AH395">
            <v>0</v>
          </cell>
          <cell r="AI395">
            <v>12.9</v>
          </cell>
          <cell r="AJ395">
            <v>0</v>
          </cell>
          <cell r="AK395">
            <v>5.73</v>
          </cell>
          <cell r="AL395">
            <v>0</v>
          </cell>
          <cell r="AM395">
            <v>18.630000000000003</v>
          </cell>
          <cell r="AO395" t="str">
            <v xml:space="preserve">       a.  Adult Foster Care</v>
          </cell>
          <cell r="AP395">
            <v>0</v>
          </cell>
          <cell r="AQ395">
            <v>0</v>
          </cell>
          <cell r="AR395">
            <v>0</v>
          </cell>
          <cell r="AS395">
            <v>0</v>
          </cell>
          <cell r="AT395">
            <v>0</v>
          </cell>
          <cell r="AU395">
            <v>0</v>
          </cell>
          <cell r="AW395" t="str">
            <v xml:space="preserve">       a.  Adult Foster Care</v>
          </cell>
          <cell r="AX395">
            <v>0</v>
          </cell>
          <cell r="AY395">
            <v>4</v>
          </cell>
          <cell r="AZ395">
            <v>0</v>
          </cell>
          <cell r="BA395">
            <v>0</v>
          </cell>
          <cell r="BB395">
            <v>0</v>
          </cell>
          <cell r="BC395">
            <v>4</v>
          </cell>
        </row>
        <row r="396">
          <cell r="A396" t="str">
            <v xml:space="preserve">       b.  Assisted Living Home (Adult Care Home)</v>
          </cell>
          <cell r="B396">
            <v>0</v>
          </cell>
          <cell r="C396">
            <v>44.36</v>
          </cell>
          <cell r="D396">
            <v>0</v>
          </cell>
          <cell r="E396">
            <v>1.66</v>
          </cell>
          <cell r="F396">
            <v>0</v>
          </cell>
          <cell r="G396">
            <v>46.019999999999996</v>
          </cell>
          <cell r="I396" t="str">
            <v xml:space="preserve">       b.  Assisted Living Home (Adult Care Home)</v>
          </cell>
          <cell r="J396">
            <v>0</v>
          </cell>
          <cell r="K396">
            <v>19.060000000000002</v>
          </cell>
          <cell r="L396">
            <v>0</v>
          </cell>
          <cell r="M396">
            <v>4.7</v>
          </cell>
          <cell r="N396">
            <v>0</v>
          </cell>
          <cell r="O396">
            <v>23.76</v>
          </cell>
          <cell r="Q396" t="str">
            <v xml:space="preserve">       b.  Assisted Living Home (Adult Care Home)</v>
          </cell>
          <cell r="R396">
            <v>0</v>
          </cell>
          <cell r="S396">
            <v>0</v>
          </cell>
          <cell r="T396">
            <v>0</v>
          </cell>
          <cell r="U396">
            <v>0</v>
          </cell>
          <cell r="V396">
            <v>0</v>
          </cell>
          <cell r="W396">
            <v>0</v>
          </cell>
          <cell r="Y396" t="str">
            <v xml:space="preserve">       b.  Assisted Living Home (Adult Care Home)</v>
          </cell>
          <cell r="Z396">
            <v>0</v>
          </cell>
          <cell r="AA396">
            <v>1894.61</v>
          </cell>
          <cell r="AB396">
            <v>0</v>
          </cell>
          <cell r="AC396">
            <v>120.88</v>
          </cell>
          <cell r="AD396">
            <v>0</v>
          </cell>
          <cell r="AE396">
            <v>2015.4899999999998</v>
          </cell>
          <cell r="AG396" t="str">
            <v xml:space="preserve">       b.  Assisted Living Home (Adult Care Home)</v>
          </cell>
          <cell r="AH396">
            <v>0</v>
          </cell>
          <cell r="AI396">
            <v>30.16</v>
          </cell>
          <cell r="AJ396">
            <v>0</v>
          </cell>
          <cell r="AK396">
            <v>10.3</v>
          </cell>
          <cell r="AL396">
            <v>0</v>
          </cell>
          <cell r="AM396">
            <v>40.46</v>
          </cell>
          <cell r="AO396" t="str">
            <v xml:space="preserve">       b.  Assisted Living Home (Adult Care Home)</v>
          </cell>
          <cell r="AP396">
            <v>0</v>
          </cell>
          <cell r="AQ396">
            <v>84.77</v>
          </cell>
          <cell r="AR396">
            <v>0</v>
          </cell>
          <cell r="AS396">
            <v>12</v>
          </cell>
          <cell r="AT396">
            <v>0</v>
          </cell>
          <cell r="AU396">
            <v>96.77</v>
          </cell>
          <cell r="AW396" t="str">
            <v xml:space="preserve">       b.  Assisted Living Home (Adult Care Home)</v>
          </cell>
          <cell r="AX396">
            <v>0</v>
          </cell>
          <cell r="AY396">
            <v>114.64999999999999</v>
          </cell>
          <cell r="AZ396">
            <v>0</v>
          </cell>
          <cell r="BA396">
            <v>10.27</v>
          </cell>
          <cell r="BB396">
            <v>0</v>
          </cell>
          <cell r="BC396">
            <v>124.91999999999999</v>
          </cell>
        </row>
        <row r="397">
          <cell r="A397" t="str">
            <v xml:space="preserve">       c.  Group Home (DD)</v>
          </cell>
          <cell r="B397">
            <v>0</v>
          </cell>
          <cell r="C397">
            <v>0</v>
          </cell>
          <cell r="D397">
            <v>0</v>
          </cell>
          <cell r="E397">
            <v>0</v>
          </cell>
          <cell r="F397">
            <v>0</v>
          </cell>
          <cell r="G397">
            <v>0</v>
          </cell>
          <cell r="I397" t="str">
            <v xml:space="preserve">       c.  Group Home (DD)</v>
          </cell>
          <cell r="J397">
            <v>0</v>
          </cell>
          <cell r="K397">
            <v>0</v>
          </cell>
          <cell r="L397">
            <v>0</v>
          </cell>
          <cell r="M397">
            <v>0</v>
          </cell>
          <cell r="N397">
            <v>0</v>
          </cell>
          <cell r="O397">
            <v>0</v>
          </cell>
          <cell r="Q397" t="str">
            <v xml:space="preserve">       c.  Group Home (DD)</v>
          </cell>
          <cell r="R397">
            <v>0</v>
          </cell>
          <cell r="S397">
            <v>0</v>
          </cell>
          <cell r="T397">
            <v>0</v>
          </cell>
          <cell r="U397">
            <v>0</v>
          </cell>
          <cell r="V397">
            <v>0</v>
          </cell>
          <cell r="W397">
            <v>0</v>
          </cell>
          <cell r="Y397" t="str">
            <v xml:space="preserve">       c.  Group Home (DD)</v>
          </cell>
          <cell r="Z397">
            <v>0</v>
          </cell>
          <cell r="AA397">
            <v>4.0299999999999994</v>
          </cell>
          <cell r="AB397">
            <v>0</v>
          </cell>
          <cell r="AC397">
            <v>0</v>
          </cell>
          <cell r="AD397">
            <v>0</v>
          </cell>
          <cell r="AE397">
            <v>4.0299999999999994</v>
          </cell>
          <cell r="AG397" t="str">
            <v xml:space="preserve">       c.  Group Home (DD)</v>
          </cell>
          <cell r="AH397">
            <v>0</v>
          </cell>
          <cell r="AI397">
            <v>0</v>
          </cell>
          <cell r="AJ397">
            <v>0</v>
          </cell>
          <cell r="AK397">
            <v>0</v>
          </cell>
          <cell r="AL397">
            <v>0</v>
          </cell>
          <cell r="AM397">
            <v>0</v>
          </cell>
          <cell r="AO397" t="str">
            <v xml:space="preserve">       c.  Group Home (DD)</v>
          </cell>
          <cell r="AP397">
            <v>0</v>
          </cell>
          <cell r="AQ397">
            <v>0</v>
          </cell>
          <cell r="AR397">
            <v>0</v>
          </cell>
          <cell r="AS397">
            <v>0</v>
          </cell>
          <cell r="AT397">
            <v>0</v>
          </cell>
          <cell r="AU397">
            <v>0</v>
          </cell>
          <cell r="AW397" t="str">
            <v xml:space="preserve">       c.  Group Home (DD)</v>
          </cell>
          <cell r="AX397">
            <v>0</v>
          </cell>
          <cell r="AY397">
            <v>0</v>
          </cell>
          <cell r="AZ397">
            <v>0</v>
          </cell>
          <cell r="BA397">
            <v>0</v>
          </cell>
          <cell r="BB397">
            <v>0</v>
          </cell>
          <cell r="BC397">
            <v>0</v>
          </cell>
        </row>
        <row r="398">
          <cell r="A398" t="str">
            <v xml:space="preserve">       d.  Individual Home</v>
          </cell>
          <cell r="B398">
            <v>0</v>
          </cell>
          <cell r="C398">
            <v>79.72999999999999</v>
          </cell>
          <cell r="D398">
            <v>0</v>
          </cell>
          <cell r="E398">
            <v>36.950000000000003</v>
          </cell>
          <cell r="F398">
            <v>0</v>
          </cell>
          <cell r="G398">
            <v>116.67999999999999</v>
          </cell>
          <cell r="I398" t="str">
            <v xml:space="preserve">       d.  Individual Home</v>
          </cell>
          <cell r="J398">
            <v>0</v>
          </cell>
          <cell r="K398">
            <v>104.99</v>
          </cell>
          <cell r="L398">
            <v>0</v>
          </cell>
          <cell r="M398">
            <v>45.69</v>
          </cell>
          <cell r="N398">
            <v>0</v>
          </cell>
          <cell r="O398">
            <v>150.68</v>
          </cell>
          <cell r="Q398" t="str">
            <v xml:space="preserve">       d.  Individual Home</v>
          </cell>
          <cell r="R398">
            <v>0</v>
          </cell>
          <cell r="S398">
            <v>69.900000000000006</v>
          </cell>
          <cell r="T398">
            <v>0</v>
          </cell>
          <cell r="U398">
            <v>3</v>
          </cell>
          <cell r="V398">
            <v>0</v>
          </cell>
          <cell r="W398">
            <v>72.900000000000006</v>
          </cell>
          <cell r="Y398" t="str">
            <v xml:space="preserve">       d.  Individual Home</v>
          </cell>
          <cell r="Z398">
            <v>0</v>
          </cell>
          <cell r="AA398">
            <v>1965.87</v>
          </cell>
          <cell r="AB398">
            <v>0</v>
          </cell>
          <cell r="AC398">
            <v>726.05</v>
          </cell>
          <cell r="AD398">
            <v>0</v>
          </cell>
          <cell r="AE398">
            <v>2691.92</v>
          </cell>
          <cell r="AG398" t="str">
            <v xml:space="preserve">       d.  Individual Home</v>
          </cell>
          <cell r="AH398">
            <v>0</v>
          </cell>
          <cell r="AI398">
            <v>534.37</v>
          </cell>
          <cell r="AJ398">
            <v>0</v>
          </cell>
          <cell r="AK398">
            <v>126.09</v>
          </cell>
          <cell r="AL398">
            <v>0</v>
          </cell>
          <cell r="AM398">
            <v>660.46</v>
          </cell>
          <cell r="AO398" t="str">
            <v xml:space="preserve">       d.  Individual Home</v>
          </cell>
          <cell r="AP398">
            <v>0</v>
          </cell>
          <cell r="AQ398">
            <v>196.08</v>
          </cell>
          <cell r="AR398">
            <v>0</v>
          </cell>
          <cell r="AS398">
            <v>78.42</v>
          </cell>
          <cell r="AT398">
            <v>0</v>
          </cell>
          <cell r="AU398">
            <v>274.5</v>
          </cell>
          <cell r="AW398" t="str">
            <v xml:space="preserve">       d.  Individual Home</v>
          </cell>
          <cell r="AX398">
            <v>0</v>
          </cell>
          <cell r="AY398">
            <v>336.13</v>
          </cell>
          <cell r="AZ398">
            <v>0</v>
          </cell>
          <cell r="BA398">
            <v>124.83999999999999</v>
          </cell>
          <cell r="BB398">
            <v>0</v>
          </cell>
          <cell r="BC398">
            <v>460.96999999999997</v>
          </cell>
        </row>
        <row r="399">
          <cell r="A399" t="str">
            <v xml:space="preserve">       e.  Assisted Living Centers (SRL)</v>
          </cell>
          <cell r="B399">
            <v>0</v>
          </cell>
          <cell r="C399">
            <v>3.3200000000000003</v>
          </cell>
          <cell r="D399">
            <v>0</v>
          </cell>
          <cell r="E399">
            <v>3</v>
          </cell>
          <cell r="F399">
            <v>0</v>
          </cell>
          <cell r="G399">
            <v>6.32</v>
          </cell>
          <cell r="I399" t="str">
            <v xml:space="preserve">       e.  Assisted Living Centers (SRL)</v>
          </cell>
          <cell r="J399">
            <v>0</v>
          </cell>
          <cell r="K399">
            <v>144.38999999999999</v>
          </cell>
          <cell r="L399">
            <v>0</v>
          </cell>
          <cell r="M399">
            <v>8.17</v>
          </cell>
          <cell r="N399">
            <v>0</v>
          </cell>
          <cell r="O399">
            <v>152.55999999999997</v>
          </cell>
          <cell r="Q399" t="str">
            <v xml:space="preserve">       e.  Assisted Living Centers (SRL)</v>
          </cell>
          <cell r="R399">
            <v>0</v>
          </cell>
          <cell r="S399">
            <v>8.65</v>
          </cell>
          <cell r="T399">
            <v>0</v>
          </cell>
          <cell r="U399">
            <v>0</v>
          </cell>
          <cell r="V399">
            <v>0</v>
          </cell>
          <cell r="W399">
            <v>8.65</v>
          </cell>
          <cell r="Y399" t="str">
            <v xml:space="preserve">       e.  Assisted Living Centers (SRL)</v>
          </cell>
          <cell r="Z399">
            <v>0</v>
          </cell>
          <cell r="AA399">
            <v>2157.25</v>
          </cell>
          <cell r="AB399">
            <v>0</v>
          </cell>
          <cell r="AC399">
            <v>134.42000000000002</v>
          </cell>
          <cell r="AD399">
            <v>0</v>
          </cell>
          <cell r="AE399">
            <v>2291.67</v>
          </cell>
          <cell r="AG399" t="str">
            <v xml:space="preserve">       e.  Assisted Living Centers (SRL)</v>
          </cell>
          <cell r="AH399">
            <v>0</v>
          </cell>
          <cell r="AI399">
            <v>365.73</v>
          </cell>
          <cell r="AJ399">
            <v>0</v>
          </cell>
          <cell r="AK399">
            <v>51.73</v>
          </cell>
          <cell r="AL399">
            <v>0</v>
          </cell>
          <cell r="AM399">
            <v>417.46000000000004</v>
          </cell>
          <cell r="AO399" t="str">
            <v xml:space="preserve">       e.  Assisted Living Centers (SRL)</v>
          </cell>
          <cell r="AP399">
            <v>0</v>
          </cell>
          <cell r="AQ399">
            <v>57.95</v>
          </cell>
          <cell r="AR399">
            <v>0</v>
          </cell>
          <cell r="AS399">
            <v>9.8000000000000007</v>
          </cell>
          <cell r="AT399">
            <v>0</v>
          </cell>
          <cell r="AU399">
            <v>67.75</v>
          </cell>
          <cell r="AW399" t="str">
            <v xml:space="preserve">       e.  Assisted Living Centers (SRL)</v>
          </cell>
          <cell r="AX399">
            <v>0</v>
          </cell>
          <cell r="AY399">
            <v>144.34</v>
          </cell>
          <cell r="AZ399">
            <v>0</v>
          </cell>
          <cell r="BA399">
            <v>16.86</v>
          </cell>
          <cell r="BB399">
            <v>0</v>
          </cell>
          <cell r="BC399">
            <v>161.19999999999999</v>
          </cell>
        </row>
        <row r="400">
          <cell r="A400" t="str">
            <v xml:space="preserve">       f.  Other (Hospice)</v>
          </cell>
          <cell r="B400">
            <v>0</v>
          </cell>
          <cell r="C400">
            <v>17.420000000000002</v>
          </cell>
          <cell r="D400">
            <v>0</v>
          </cell>
          <cell r="E400">
            <v>0</v>
          </cell>
          <cell r="F400">
            <v>0</v>
          </cell>
          <cell r="G400">
            <v>17.420000000000002</v>
          </cell>
          <cell r="I400" t="str">
            <v xml:space="preserve">       f.  Other (Hospice)</v>
          </cell>
          <cell r="J400">
            <v>0</v>
          </cell>
          <cell r="K400">
            <v>1.9100000000000001</v>
          </cell>
          <cell r="L400">
            <v>0</v>
          </cell>
          <cell r="M400">
            <v>0</v>
          </cell>
          <cell r="N400">
            <v>0</v>
          </cell>
          <cell r="O400">
            <v>1.9100000000000001</v>
          </cell>
          <cell r="Q400" t="str">
            <v xml:space="preserve">       f.  Other (Hospice)</v>
          </cell>
          <cell r="R400">
            <v>0</v>
          </cell>
          <cell r="S400">
            <v>0</v>
          </cell>
          <cell r="T400">
            <v>0</v>
          </cell>
          <cell r="U400">
            <v>3</v>
          </cell>
          <cell r="V400">
            <v>0</v>
          </cell>
          <cell r="W400">
            <v>3</v>
          </cell>
          <cell r="Y400" t="str">
            <v xml:space="preserve">       f.  Other (Hospice)</v>
          </cell>
          <cell r="Z400">
            <v>0</v>
          </cell>
          <cell r="AA400">
            <v>287.98</v>
          </cell>
          <cell r="AB400">
            <v>0</v>
          </cell>
          <cell r="AC400">
            <v>6.83</v>
          </cell>
          <cell r="AD400">
            <v>0</v>
          </cell>
          <cell r="AE400">
            <v>294.81</v>
          </cell>
          <cell r="AG400" t="str">
            <v xml:space="preserve">       f.  Other (Hospice)</v>
          </cell>
          <cell r="AH400">
            <v>0</v>
          </cell>
          <cell r="AI400">
            <v>4.0600000000000005</v>
          </cell>
          <cell r="AJ400">
            <v>0</v>
          </cell>
          <cell r="AK400">
            <v>0</v>
          </cell>
          <cell r="AL400">
            <v>0</v>
          </cell>
          <cell r="AM400">
            <v>4.0600000000000005</v>
          </cell>
          <cell r="AO400" t="str">
            <v xml:space="preserve">       f.  Other (Hospice)</v>
          </cell>
          <cell r="AP400">
            <v>0</v>
          </cell>
          <cell r="AQ400">
            <v>16.420000000000002</v>
          </cell>
          <cell r="AR400">
            <v>0</v>
          </cell>
          <cell r="AS400">
            <v>6.49</v>
          </cell>
          <cell r="AT400">
            <v>0</v>
          </cell>
          <cell r="AU400">
            <v>22.910000000000004</v>
          </cell>
          <cell r="AW400" t="str">
            <v xml:space="preserve">       f.  Other (Hospice)</v>
          </cell>
          <cell r="AX400">
            <v>0</v>
          </cell>
          <cell r="AY400">
            <v>25.36</v>
          </cell>
          <cell r="AZ400">
            <v>0</v>
          </cell>
          <cell r="BA400">
            <v>1.9</v>
          </cell>
          <cell r="BB400">
            <v>0</v>
          </cell>
          <cell r="BC400">
            <v>27.259999999999998</v>
          </cell>
        </row>
        <row r="401">
          <cell r="A401" t="str">
            <v xml:space="preserve">       g.  Attendant Care</v>
          </cell>
          <cell r="B401">
            <v>0</v>
          </cell>
          <cell r="C401">
            <v>48.48</v>
          </cell>
          <cell r="D401">
            <v>0</v>
          </cell>
          <cell r="E401">
            <v>9</v>
          </cell>
          <cell r="F401">
            <v>0</v>
          </cell>
          <cell r="G401">
            <v>57.48</v>
          </cell>
          <cell r="I401" t="str">
            <v xml:space="preserve">       g.  Attendant Care</v>
          </cell>
          <cell r="J401">
            <v>0</v>
          </cell>
          <cell r="K401">
            <v>68.13</v>
          </cell>
          <cell r="L401">
            <v>0</v>
          </cell>
          <cell r="M401">
            <v>28.619999999999997</v>
          </cell>
          <cell r="N401">
            <v>0</v>
          </cell>
          <cell r="O401">
            <v>96.75</v>
          </cell>
          <cell r="Q401" t="str">
            <v xml:space="preserve">       g.  Attendant Care</v>
          </cell>
          <cell r="R401">
            <v>0</v>
          </cell>
          <cell r="S401">
            <v>17</v>
          </cell>
          <cell r="T401">
            <v>0</v>
          </cell>
          <cell r="U401">
            <v>8.07</v>
          </cell>
          <cell r="V401">
            <v>0</v>
          </cell>
          <cell r="W401">
            <v>25.07</v>
          </cell>
          <cell r="Y401" t="str">
            <v xml:space="preserve">       g.  Attendant Care</v>
          </cell>
          <cell r="Z401">
            <v>0</v>
          </cell>
          <cell r="AA401">
            <v>2083.3200000000002</v>
          </cell>
          <cell r="AB401">
            <v>0</v>
          </cell>
          <cell r="AC401">
            <v>496.35</v>
          </cell>
          <cell r="AD401">
            <v>0</v>
          </cell>
          <cell r="AE401">
            <v>2579.67</v>
          </cell>
          <cell r="AG401" t="str">
            <v xml:space="preserve">       g.  Attendant Care</v>
          </cell>
          <cell r="AH401">
            <v>0</v>
          </cell>
          <cell r="AI401">
            <v>378.56</v>
          </cell>
          <cell r="AJ401">
            <v>0</v>
          </cell>
          <cell r="AK401">
            <v>57.490000000000009</v>
          </cell>
          <cell r="AL401">
            <v>0</v>
          </cell>
          <cell r="AM401">
            <v>436.05</v>
          </cell>
          <cell r="AO401" t="str">
            <v xml:space="preserve">       g.  Attendant Care</v>
          </cell>
          <cell r="AP401">
            <v>0</v>
          </cell>
          <cell r="AQ401">
            <v>124.47</v>
          </cell>
          <cell r="AR401">
            <v>0</v>
          </cell>
          <cell r="AS401">
            <v>29</v>
          </cell>
          <cell r="AT401">
            <v>0</v>
          </cell>
          <cell r="AU401">
            <v>153.47</v>
          </cell>
          <cell r="AW401" t="str">
            <v xml:space="preserve">       g.  Attendant Care</v>
          </cell>
          <cell r="AX401">
            <v>0</v>
          </cell>
          <cell r="AY401">
            <v>397.32000000000005</v>
          </cell>
          <cell r="AZ401">
            <v>0</v>
          </cell>
          <cell r="BA401">
            <v>105.08000000000001</v>
          </cell>
          <cell r="BB401">
            <v>0</v>
          </cell>
          <cell r="BC401">
            <v>502.40000000000009</v>
          </cell>
        </row>
        <row r="402">
          <cell r="A402" t="str">
            <v xml:space="preserve">   8.  Acute Care</v>
          </cell>
          <cell r="B402">
            <v>0</v>
          </cell>
          <cell r="C402">
            <v>3.2</v>
          </cell>
          <cell r="D402">
            <v>0</v>
          </cell>
          <cell r="E402">
            <v>0</v>
          </cell>
          <cell r="F402">
            <v>0</v>
          </cell>
          <cell r="G402">
            <v>3.2</v>
          </cell>
          <cell r="I402" t="str">
            <v xml:space="preserve">   8.  Acute Care</v>
          </cell>
          <cell r="J402">
            <v>0</v>
          </cell>
          <cell r="K402">
            <v>11</v>
          </cell>
          <cell r="L402">
            <v>0</v>
          </cell>
          <cell r="M402">
            <v>6.0299999999999994</v>
          </cell>
          <cell r="N402">
            <v>0</v>
          </cell>
          <cell r="O402">
            <v>17.03</v>
          </cell>
          <cell r="Q402" t="str">
            <v xml:space="preserve">   8.  Acute Care</v>
          </cell>
          <cell r="R402">
            <v>0</v>
          </cell>
          <cell r="S402">
            <v>7.5299999999999994</v>
          </cell>
          <cell r="T402">
            <v>0</v>
          </cell>
          <cell r="U402">
            <v>0</v>
          </cell>
          <cell r="V402">
            <v>0</v>
          </cell>
          <cell r="W402">
            <v>7.5299999999999994</v>
          </cell>
          <cell r="Y402" t="str">
            <v xml:space="preserve">   8.  Acute Care</v>
          </cell>
          <cell r="Z402">
            <v>0</v>
          </cell>
          <cell r="AA402">
            <v>114.88</v>
          </cell>
          <cell r="AB402">
            <v>0</v>
          </cell>
          <cell r="AC402">
            <v>85.009999999999991</v>
          </cell>
          <cell r="AD402">
            <v>0</v>
          </cell>
          <cell r="AE402">
            <v>199.89</v>
          </cell>
          <cell r="AG402" t="str">
            <v xml:space="preserve">   8.  Acute Care</v>
          </cell>
          <cell r="AH402">
            <v>0</v>
          </cell>
          <cell r="AI402">
            <v>6.9</v>
          </cell>
          <cell r="AJ402">
            <v>0</v>
          </cell>
          <cell r="AK402">
            <v>0</v>
          </cell>
          <cell r="AL402">
            <v>0</v>
          </cell>
          <cell r="AM402">
            <v>6.9</v>
          </cell>
          <cell r="AO402" t="str">
            <v xml:space="preserve">   8.  Acute Care</v>
          </cell>
          <cell r="AP402">
            <v>0</v>
          </cell>
          <cell r="AQ402">
            <v>4.57</v>
          </cell>
          <cell r="AR402">
            <v>0</v>
          </cell>
          <cell r="AS402">
            <v>0</v>
          </cell>
          <cell r="AT402">
            <v>0</v>
          </cell>
          <cell r="AU402">
            <v>4.57</v>
          </cell>
          <cell r="AW402" t="str">
            <v xml:space="preserve">   8.  Acute Care</v>
          </cell>
          <cell r="AX402">
            <v>0</v>
          </cell>
          <cell r="AY402">
            <v>5</v>
          </cell>
          <cell r="AZ402">
            <v>0</v>
          </cell>
          <cell r="BA402">
            <v>5</v>
          </cell>
          <cell r="BB402">
            <v>0</v>
          </cell>
          <cell r="BC402">
            <v>10</v>
          </cell>
        </row>
        <row r="403">
          <cell r="A403" t="str">
            <v xml:space="preserve">   9.  Ventilator</v>
          </cell>
          <cell r="B403">
            <v>0</v>
          </cell>
          <cell r="C403">
            <v>0</v>
          </cell>
          <cell r="D403">
            <v>0</v>
          </cell>
          <cell r="E403">
            <v>0</v>
          </cell>
          <cell r="F403">
            <v>0</v>
          </cell>
          <cell r="G403">
            <v>0</v>
          </cell>
          <cell r="I403" t="str">
            <v xml:space="preserve">   9.  Ventilator</v>
          </cell>
          <cell r="J403">
            <v>0</v>
          </cell>
          <cell r="K403">
            <v>0</v>
          </cell>
          <cell r="L403">
            <v>0</v>
          </cell>
          <cell r="M403">
            <v>3</v>
          </cell>
          <cell r="N403">
            <v>0</v>
          </cell>
          <cell r="O403">
            <v>3</v>
          </cell>
          <cell r="Q403" t="str">
            <v xml:space="preserve">   9.  Ventilator</v>
          </cell>
          <cell r="R403">
            <v>0</v>
          </cell>
          <cell r="S403">
            <v>0</v>
          </cell>
          <cell r="T403">
            <v>0</v>
          </cell>
          <cell r="U403">
            <v>0</v>
          </cell>
          <cell r="V403">
            <v>0</v>
          </cell>
          <cell r="W403">
            <v>0</v>
          </cell>
          <cell r="Y403" t="str">
            <v xml:space="preserve">   9.  Ventilator</v>
          </cell>
          <cell r="Z403">
            <v>0</v>
          </cell>
          <cell r="AA403">
            <v>64.25</v>
          </cell>
          <cell r="AB403">
            <v>0</v>
          </cell>
          <cell r="AC403">
            <v>56.510000000000005</v>
          </cell>
          <cell r="AD403">
            <v>0</v>
          </cell>
          <cell r="AE403">
            <v>120.76</v>
          </cell>
          <cell r="AG403" t="str">
            <v xml:space="preserve">   9.  Ventilator</v>
          </cell>
          <cell r="AH403">
            <v>0</v>
          </cell>
          <cell r="AI403">
            <v>4</v>
          </cell>
          <cell r="AJ403">
            <v>0</v>
          </cell>
          <cell r="AK403">
            <v>0</v>
          </cell>
          <cell r="AL403">
            <v>0</v>
          </cell>
          <cell r="AM403">
            <v>4</v>
          </cell>
          <cell r="AO403" t="str">
            <v xml:space="preserve">   9.  Ventilator</v>
          </cell>
          <cell r="AP403">
            <v>0</v>
          </cell>
          <cell r="AQ403">
            <v>4</v>
          </cell>
          <cell r="AR403">
            <v>0</v>
          </cell>
          <cell r="AS403">
            <v>3</v>
          </cell>
          <cell r="AT403">
            <v>0</v>
          </cell>
          <cell r="AU403">
            <v>7</v>
          </cell>
          <cell r="AW403" t="str">
            <v xml:space="preserve">   9.  Ventilator</v>
          </cell>
          <cell r="AX403">
            <v>0</v>
          </cell>
          <cell r="AY403">
            <v>0</v>
          </cell>
          <cell r="AZ403">
            <v>0</v>
          </cell>
          <cell r="BA403">
            <v>3</v>
          </cell>
          <cell r="BB403">
            <v>0</v>
          </cell>
          <cell r="BC403">
            <v>3</v>
          </cell>
        </row>
        <row r="404">
          <cell r="A404" t="str">
            <v xml:space="preserve">  10.  Prior Period</v>
          </cell>
          <cell r="B404">
            <v>0</v>
          </cell>
          <cell r="C404">
            <v>1.9666999999999999</v>
          </cell>
          <cell r="D404">
            <v>0</v>
          </cell>
          <cell r="E404">
            <v>0</v>
          </cell>
          <cell r="F404">
            <v>0</v>
          </cell>
          <cell r="G404">
            <v>1.9666999999999999</v>
          </cell>
          <cell r="I404" t="str">
            <v xml:space="preserve">  10.  Prior Period</v>
          </cell>
          <cell r="J404">
            <v>0</v>
          </cell>
          <cell r="K404">
            <v>16.677399999999999</v>
          </cell>
          <cell r="L404">
            <v>0</v>
          </cell>
          <cell r="M404">
            <v>4.9333</v>
          </cell>
          <cell r="N404">
            <v>0</v>
          </cell>
          <cell r="O404">
            <v>21.610699999999998</v>
          </cell>
          <cell r="Q404" t="str">
            <v xml:space="preserve">  10.  Prior Period</v>
          </cell>
          <cell r="R404">
            <v>0</v>
          </cell>
          <cell r="S404">
            <v>19.161200000000001</v>
          </cell>
          <cell r="T404">
            <v>0</v>
          </cell>
          <cell r="U404">
            <v>0</v>
          </cell>
          <cell r="V404">
            <v>0</v>
          </cell>
          <cell r="W404">
            <v>19.161200000000001</v>
          </cell>
          <cell r="Y404" t="str">
            <v xml:space="preserve">  10.  Prior Period</v>
          </cell>
          <cell r="Z404">
            <v>0</v>
          </cell>
          <cell r="AA404">
            <v>506.45180000000005</v>
          </cell>
          <cell r="AB404">
            <v>0</v>
          </cell>
          <cell r="AC404">
            <v>36.459099999999999</v>
          </cell>
          <cell r="AD404">
            <v>0</v>
          </cell>
          <cell r="AE404">
            <v>542.91090000000008</v>
          </cell>
          <cell r="AG404" t="str">
            <v xml:space="preserve">  10.  Prior Period</v>
          </cell>
          <cell r="AH404">
            <v>0</v>
          </cell>
          <cell r="AI404">
            <v>80.073099999999997</v>
          </cell>
          <cell r="AJ404">
            <v>0</v>
          </cell>
          <cell r="AK404">
            <v>9.0333000000000006</v>
          </cell>
          <cell r="AL404">
            <v>0</v>
          </cell>
          <cell r="AM404">
            <v>89.106399999999994</v>
          </cell>
          <cell r="AO404" t="str">
            <v xml:space="preserve">  10.  Prior Period</v>
          </cell>
          <cell r="AP404">
            <v>0</v>
          </cell>
          <cell r="AQ404">
            <v>21.099999999999998</v>
          </cell>
          <cell r="AR404">
            <v>0</v>
          </cell>
          <cell r="AS404">
            <v>3.2300000000000002E-2</v>
          </cell>
          <cell r="AT404">
            <v>0</v>
          </cell>
          <cell r="AU404">
            <v>21.132299999999997</v>
          </cell>
          <cell r="AW404" t="str">
            <v xml:space="preserve">  10.  Prior Period</v>
          </cell>
          <cell r="AX404">
            <v>0</v>
          </cell>
          <cell r="AY404">
            <v>39.611800000000002</v>
          </cell>
          <cell r="AZ404">
            <v>0</v>
          </cell>
          <cell r="BA404">
            <v>0</v>
          </cell>
          <cell r="BB404">
            <v>0</v>
          </cell>
          <cell r="BC404">
            <v>39.611800000000002</v>
          </cell>
        </row>
        <row r="405">
          <cell r="A405" t="str">
            <v xml:space="preserve">  11.  Other - Not Placed</v>
          </cell>
          <cell r="B405">
            <v>0</v>
          </cell>
          <cell r="C405">
            <v>-23.29</v>
          </cell>
          <cell r="D405">
            <v>0</v>
          </cell>
          <cell r="E405">
            <v>-7</v>
          </cell>
          <cell r="F405">
            <v>0</v>
          </cell>
          <cell r="G405">
            <v>-30.29</v>
          </cell>
          <cell r="I405" t="str">
            <v xml:space="preserve">  11.  Other - Not Placed</v>
          </cell>
          <cell r="J405">
            <v>0</v>
          </cell>
          <cell r="K405">
            <v>-42.91</v>
          </cell>
          <cell r="L405">
            <v>0</v>
          </cell>
          <cell r="M405">
            <v>-4.43</v>
          </cell>
          <cell r="N405">
            <v>0</v>
          </cell>
          <cell r="O405">
            <v>-47.339999999999996</v>
          </cell>
          <cell r="Q405" t="str">
            <v xml:space="preserve">  11.  Other - Not Placed</v>
          </cell>
          <cell r="R405">
            <v>0</v>
          </cell>
          <cell r="S405">
            <v>-22.83</v>
          </cell>
          <cell r="T405">
            <v>0</v>
          </cell>
          <cell r="U405">
            <v>0</v>
          </cell>
          <cell r="V405">
            <v>0</v>
          </cell>
          <cell r="W405">
            <v>-22.83</v>
          </cell>
          <cell r="Y405" t="str">
            <v xml:space="preserve">  11.  Other - Not Placed</v>
          </cell>
          <cell r="Z405">
            <v>0</v>
          </cell>
          <cell r="AA405">
            <v>-1251.3499999999979</v>
          </cell>
          <cell r="AB405">
            <v>0</v>
          </cell>
          <cell r="AC405">
            <v>-184.51999999999998</v>
          </cell>
          <cell r="AD405">
            <v>0</v>
          </cell>
          <cell r="AE405">
            <v>-1435.8699999999978</v>
          </cell>
          <cell r="AG405" t="str">
            <v xml:space="preserve">  11.  Other - Not Placed</v>
          </cell>
          <cell r="AH405">
            <v>0</v>
          </cell>
          <cell r="AI405">
            <v>-294.55</v>
          </cell>
          <cell r="AJ405">
            <v>0</v>
          </cell>
          <cell r="AK405">
            <v>-14.290000000000001</v>
          </cell>
          <cell r="AL405">
            <v>0</v>
          </cell>
          <cell r="AM405">
            <v>-308.84000000000003</v>
          </cell>
          <cell r="AO405" t="str">
            <v xml:space="preserve">  11.  Other - Not Placed</v>
          </cell>
          <cell r="AP405">
            <v>0</v>
          </cell>
          <cell r="AQ405">
            <v>-31.769999999999996</v>
          </cell>
          <cell r="AR405">
            <v>0</v>
          </cell>
          <cell r="AS405">
            <v>-18.259999999999998</v>
          </cell>
          <cell r="AT405">
            <v>0</v>
          </cell>
          <cell r="AU405">
            <v>-50.029999999999994</v>
          </cell>
          <cell r="AW405" t="str">
            <v xml:space="preserve">  11.  Other - Not Placed</v>
          </cell>
          <cell r="AX405">
            <v>0</v>
          </cell>
          <cell r="AY405">
            <v>-270.71000000000004</v>
          </cell>
          <cell r="AZ405">
            <v>0</v>
          </cell>
          <cell r="BA405">
            <v>-48.54</v>
          </cell>
          <cell r="BB405">
            <v>0</v>
          </cell>
          <cell r="BC405">
            <v>-319.25000000000006</v>
          </cell>
        </row>
        <row r="407">
          <cell r="A407" t="str">
            <v>C.   Acute Patient Day Information</v>
          </cell>
          <cell r="I407" t="str">
            <v>C.   Acute Patient Day Information</v>
          </cell>
          <cell r="Q407" t="str">
            <v>C.   Acute Patient Day Information</v>
          </cell>
          <cell r="Y407" t="str">
            <v>C.   Acute Patient Day Information</v>
          </cell>
          <cell r="AG407" t="str">
            <v>C.   Acute Patient Day Information</v>
          </cell>
          <cell r="AO407" t="str">
            <v>C.   Acute Patient Day Information</v>
          </cell>
          <cell r="AW407" t="str">
            <v>C.   Acute Patient Day Information</v>
          </cell>
        </row>
        <row r="408">
          <cell r="A408" t="str">
            <v xml:space="preserve">       a.  Admissions</v>
          </cell>
          <cell r="B408">
            <v>0</v>
          </cell>
          <cell r="C408">
            <v>16</v>
          </cell>
          <cell r="D408">
            <v>0</v>
          </cell>
          <cell r="E408">
            <v>2</v>
          </cell>
          <cell r="F408">
            <v>0</v>
          </cell>
          <cell r="G408">
            <v>18</v>
          </cell>
          <cell r="I408" t="str">
            <v xml:space="preserve">       a.  Admissions</v>
          </cell>
          <cell r="J408">
            <v>0</v>
          </cell>
          <cell r="K408">
            <v>28</v>
          </cell>
          <cell r="L408">
            <v>0</v>
          </cell>
          <cell r="M408">
            <v>10</v>
          </cell>
          <cell r="N408">
            <v>0</v>
          </cell>
          <cell r="O408">
            <v>38</v>
          </cell>
          <cell r="Q408" t="str">
            <v xml:space="preserve">       a.  Admissions</v>
          </cell>
          <cell r="R408">
            <v>0</v>
          </cell>
          <cell r="S408">
            <v>17</v>
          </cell>
          <cell r="T408">
            <v>0</v>
          </cell>
          <cell r="U408">
            <v>2</v>
          </cell>
          <cell r="V408">
            <v>0</v>
          </cell>
          <cell r="W408">
            <v>19</v>
          </cell>
          <cell r="Y408" t="str">
            <v xml:space="preserve">       a.  Admissions</v>
          </cell>
          <cell r="Z408">
            <v>0</v>
          </cell>
          <cell r="AA408">
            <v>789</v>
          </cell>
          <cell r="AB408">
            <v>0</v>
          </cell>
          <cell r="AC408">
            <v>142</v>
          </cell>
          <cell r="AD408">
            <v>0</v>
          </cell>
          <cell r="AE408">
            <v>931</v>
          </cell>
          <cell r="AG408" t="str">
            <v xml:space="preserve">       a.  Admissions</v>
          </cell>
          <cell r="AH408">
            <v>0</v>
          </cell>
          <cell r="AI408">
            <v>125</v>
          </cell>
          <cell r="AJ408">
            <v>0</v>
          </cell>
          <cell r="AK408">
            <v>34</v>
          </cell>
          <cell r="AL408">
            <v>0</v>
          </cell>
          <cell r="AM408">
            <v>159</v>
          </cell>
          <cell r="AO408" t="str">
            <v xml:space="preserve">       a.  Admissions</v>
          </cell>
          <cell r="AP408">
            <v>0</v>
          </cell>
          <cell r="AQ408">
            <v>34</v>
          </cell>
          <cell r="AR408">
            <v>0</v>
          </cell>
          <cell r="AS408">
            <v>7</v>
          </cell>
          <cell r="AT408">
            <v>0</v>
          </cell>
          <cell r="AU408">
            <v>41</v>
          </cell>
          <cell r="AW408" t="str">
            <v xml:space="preserve">       a.  Admissions</v>
          </cell>
          <cell r="AX408">
            <v>0</v>
          </cell>
          <cell r="AY408">
            <v>112</v>
          </cell>
          <cell r="AZ408">
            <v>0</v>
          </cell>
          <cell r="BA408">
            <v>14</v>
          </cell>
          <cell r="BB408">
            <v>0</v>
          </cell>
          <cell r="BC408">
            <v>126</v>
          </cell>
        </row>
        <row r="409">
          <cell r="A409" t="str">
            <v xml:space="preserve">       b.  Patient Days</v>
          </cell>
          <cell r="B409">
            <v>0</v>
          </cell>
          <cell r="C409">
            <v>76</v>
          </cell>
          <cell r="D409">
            <v>0</v>
          </cell>
          <cell r="E409">
            <v>11</v>
          </cell>
          <cell r="F409">
            <v>0</v>
          </cell>
          <cell r="G409">
            <v>87</v>
          </cell>
          <cell r="I409" t="str">
            <v xml:space="preserve">       b.  Patient Days</v>
          </cell>
          <cell r="J409">
            <v>0</v>
          </cell>
          <cell r="K409">
            <v>170</v>
          </cell>
          <cell r="L409">
            <v>0</v>
          </cell>
          <cell r="M409">
            <v>63</v>
          </cell>
          <cell r="N409">
            <v>0</v>
          </cell>
          <cell r="O409">
            <v>233</v>
          </cell>
          <cell r="Q409" t="str">
            <v xml:space="preserve">       b.  Patient Days</v>
          </cell>
          <cell r="R409">
            <v>0</v>
          </cell>
          <cell r="S409">
            <v>95</v>
          </cell>
          <cell r="T409">
            <v>0</v>
          </cell>
          <cell r="U409">
            <v>6</v>
          </cell>
          <cell r="V409">
            <v>0</v>
          </cell>
          <cell r="W409">
            <v>101</v>
          </cell>
          <cell r="Y409" t="str">
            <v xml:space="preserve">       b.  Patient Days</v>
          </cell>
          <cell r="Z409">
            <v>0</v>
          </cell>
          <cell r="AA409">
            <v>4179</v>
          </cell>
          <cell r="AB409">
            <v>0</v>
          </cell>
          <cell r="AC409">
            <v>826</v>
          </cell>
          <cell r="AD409">
            <v>0</v>
          </cell>
          <cell r="AE409">
            <v>5005</v>
          </cell>
          <cell r="AG409" t="str">
            <v xml:space="preserve">       b.  Patient Days</v>
          </cell>
          <cell r="AH409">
            <v>0</v>
          </cell>
          <cell r="AI409">
            <v>727</v>
          </cell>
          <cell r="AJ409">
            <v>0</v>
          </cell>
          <cell r="AK409">
            <v>221</v>
          </cell>
          <cell r="AL409">
            <v>0</v>
          </cell>
          <cell r="AM409">
            <v>948</v>
          </cell>
          <cell r="AO409" t="str">
            <v xml:space="preserve">       b.  Patient Days</v>
          </cell>
          <cell r="AP409">
            <v>0</v>
          </cell>
          <cell r="AQ409">
            <v>165</v>
          </cell>
          <cell r="AR409">
            <v>0</v>
          </cell>
          <cell r="AS409">
            <v>52</v>
          </cell>
          <cell r="AT409">
            <v>0</v>
          </cell>
          <cell r="AU409">
            <v>217</v>
          </cell>
          <cell r="AW409" t="str">
            <v xml:space="preserve">       b.  Patient Days</v>
          </cell>
          <cell r="AX409">
            <v>0</v>
          </cell>
          <cell r="AY409">
            <v>682</v>
          </cell>
          <cell r="AZ409">
            <v>0</v>
          </cell>
          <cell r="BA409">
            <v>52</v>
          </cell>
          <cell r="BB409">
            <v>0</v>
          </cell>
          <cell r="BC409">
            <v>734</v>
          </cell>
        </row>
        <row r="410">
          <cell r="A410" t="str">
            <v xml:space="preserve">       c.  Discharges</v>
          </cell>
          <cell r="B410">
            <v>0</v>
          </cell>
          <cell r="C410">
            <v>18</v>
          </cell>
          <cell r="D410">
            <v>0</v>
          </cell>
          <cell r="E410">
            <v>2</v>
          </cell>
          <cell r="F410">
            <v>0</v>
          </cell>
          <cell r="G410">
            <v>20</v>
          </cell>
          <cell r="I410" t="str">
            <v xml:space="preserve">       c.  Discharges</v>
          </cell>
          <cell r="J410">
            <v>0</v>
          </cell>
          <cell r="K410">
            <v>26</v>
          </cell>
          <cell r="L410">
            <v>0</v>
          </cell>
          <cell r="M410">
            <v>10</v>
          </cell>
          <cell r="N410">
            <v>0</v>
          </cell>
          <cell r="O410">
            <v>36</v>
          </cell>
          <cell r="Q410" t="str">
            <v xml:space="preserve">       c.  Discharges</v>
          </cell>
          <cell r="R410">
            <v>0</v>
          </cell>
          <cell r="S410">
            <v>13</v>
          </cell>
          <cell r="T410">
            <v>0</v>
          </cell>
          <cell r="U410">
            <v>2</v>
          </cell>
          <cell r="V410">
            <v>0</v>
          </cell>
          <cell r="W410">
            <v>15</v>
          </cell>
          <cell r="Y410" t="str">
            <v xml:space="preserve">       c.  Discharges</v>
          </cell>
          <cell r="Z410">
            <v>0</v>
          </cell>
          <cell r="AA410">
            <v>749</v>
          </cell>
          <cell r="AB410">
            <v>0</v>
          </cell>
          <cell r="AC410">
            <v>136</v>
          </cell>
          <cell r="AD410">
            <v>0</v>
          </cell>
          <cell r="AE410">
            <v>885</v>
          </cell>
          <cell r="AG410" t="str">
            <v xml:space="preserve">       c.  Discharges</v>
          </cell>
          <cell r="AH410">
            <v>0</v>
          </cell>
          <cell r="AI410">
            <v>119</v>
          </cell>
          <cell r="AJ410">
            <v>0</v>
          </cell>
          <cell r="AK410">
            <v>28</v>
          </cell>
          <cell r="AL410">
            <v>0</v>
          </cell>
          <cell r="AM410">
            <v>147</v>
          </cell>
          <cell r="AO410" t="str">
            <v xml:space="preserve">       c.  Discharges</v>
          </cell>
          <cell r="AP410">
            <v>0</v>
          </cell>
          <cell r="AQ410">
            <v>31</v>
          </cell>
          <cell r="AR410">
            <v>0</v>
          </cell>
          <cell r="AS410">
            <v>7</v>
          </cell>
          <cell r="AT410">
            <v>0</v>
          </cell>
          <cell r="AU410">
            <v>38</v>
          </cell>
          <cell r="AW410" t="str">
            <v xml:space="preserve">       c.  Discharges</v>
          </cell>
          <cell r="AX410">
            <v>0</v>
          </cell>
          <cell r="AY410">
            <v>113</v>
          </cell>
          <cell r="AZ410">
            <v>0</v>
          </cell>
          <cell r="BA410">
            <v>13</v>
          </cell>
          <cell r="BB410">
            <v>0</v>
          </cell>
          <cell r="BC410">
            <v>126</v>
          </cell>
        </row>
        <row r="411">
          <cell r="A411" t="str">
            <v xml:space="preserve">       d.  Discharge Days</v>
          </cell>
          <cell r="B411">
            <v>0</v>
          </cell>
          <cell r="C411">
            <v>76</v>
          </cell>
          <cell r="D411">
            <v>0</v>
          </cell>
          <cell r="E411">
            <v>11</v>
          </cell>
          <cell r="F411">
            <v>0</v>
          </cell>
          <cell r="G411">
            <v>87</v>
          </cell>
          <cell r="I411" t="str">
            <v xml:space="preserve">       d.  Discharge Days</v>
          </cell>
          <cell r="J411">
            <v>0</v>
          </cell>
          <cell r="K411">
            <v>131</v>
          </cell>
          <cell r="L411">
            <v>0</v>
          </cell>
          <cell r="M411">
            <v>58</v>
          </cell>
          <cell r="N411">
            <v>0</v>
          </cell>
          <cell r="O411">
            <v>189</v>
          </cell>
          <cell r="Q411" t="str">
            <v xml:space="preserve">       d.  Discharge Days</v>
          </cell>
          <cell r="R411">
            <v>0</v>
          </cell>
          <cell r="S411">
            <v>65</v>
          </cell>
          <cell r="T411">
            <v>0</v>
          </cell>
          <cell r="U411">
            <v>6</v>
          </cell>
          <cell r="V411">
            <v>0</v>
          </cell>
          <cell r="W411">
            <v>71</v>
          </cell>
          <cell r="Y411" t="str">
            <v xml:space="preserve">       d.  Discharge Days</v>
          </cell>
          <cell r="Z411">
            <v>0</v>
          </cell>
          <cell r="AA411">
            <v>3294</v>
          </cell>
          <cell r="AB411">
            <v>0</v>
          </cell>
          <cell r="AC411">
            <v>668</v>
          </cell>
          <cell r="AD411">
            <v>0</v>
          </cell>
          <cell r="AE411">
            <v>3962</v>
          </cell>
          <cell r="AG411" t="str">
            <v xml:space="preserve">       d.  Discharge Days</v>
          </cell>
          <cell r="AH411">
            <v>0</v>
          </cell>
          <cell r="AI411">
            <v>586</v>
          </cell>
          <cell r="AJ411">
            <v>0</v>
          </cell>
          <cell r="AK411">
            <v>142</v>
          </cell>
          <cell r="AL411">
            <v>0</v>
          </cell>
          <cell r="AM411">
            <v>728</v>
          </cell>
          <cell r="AO411" t="str">
            <v xml:space="preserve">       d.  Discharge Days</v>
          </cell>
          <cell r="AP411">
            <v>0</v>
          </cell>
          <cell r="AQ411">
            <v>128</v>
          </cell>
          <cell r="AR411">
            <v>0</v>
          </cell>
          <cell r="AS411">
            <v>33</v>
          </cell>
          <cell r="AT411">
            <v>0</v>
          </cell>
          <cell r="AU411">
            <v>161</v>
          </cell>
          <cell r="AW411" t="str">
            <v xml:space="preserve">       d.  Discharge Days</v>
          </cell>
          <cell r="AX411">
            <v>0</v>
          </cell>
          <cell r="AY411">
            <v>519</v>
          </cell>
          <cell r="AZ411">
            <v>0</v>
          </cell>
          <cell r="BA411">
            <v>48</v>
          </cell>
          <cell r="BB411">
            <v>0</v>
          </cell>
          <cell r="BC411">
            <v>567</v>
          </cell>
        </row>
        <row r="412">
          <cell r="A412" t="str">
            <v xml:space="preserve">       e.  Average Length of Stay</v>
          </cell>
          <cell r="B412">
            <v>0</v>
          </cell>
          <cell r="C412">
            <v>4.2222222222222223</v>
          </cell>
          <cell r="D412">
            <v>0</v>
          </cell>
          <cell r="E412">
            <v>5.5</v>
          </cell>
          <cell r="F412">
            <v>0</v>
          </cell>
          <cell r="G412">
            <v>4.3499999999999996</v>
          </cell>
          <cell r="I412" t="str">
            <v xml:space="preserve">       e.  Average Length of Stay</v>
          </cell>
          <cell r="J412">
            <v>0</v>
          </cell>
          <cell r="K412">
            <v>5.0384615384615383</v>
          </cell>
          <cell r="L412">
            <v>0</v>
          </cell>
          <cell r="M412">
            <v>5.8</v>
          </cell>
          <cell r="N412">
            <v>0</v>
          </cell>
          <cell r="O412">
            <v>5.25</v>
          </cell>
          <cell r="Q412" t="str">
            <v xml:space="preserve">       e.  Average Length of Stay</v>
          </cell>
          <cell r="R412">
            <v>0</v>
          </cell>
          <cell r="S412">
            <v>5</v>
          </cell>
          <cell r="T412">
            <v>0</v>
          </cell>
          <cell r="U412">
            <v>3</v>
          </cell>
          <cell r="V412">
            <v>0</v>
          </cell>
          <cell r="W412">
            <v>4.7333333333333334</v>
          </cell>
          <cell r="Y412" t="str">
            <v xml:space="preserve">       e.  Average Length of Stay</v>
          </cell>
          <cell r="Z412">
            <v>0</v>
          </cell>
          <cell r="AA412">
            <v>4.3978638184245664</v>
          </cell>
          <cell r="AB412">
            <v>0</v>
          </cell>
          <cell r="AC412">
            <v>4.9117647058823533</v>
          </cell>
          <cell r="AD412">
            <v>0</v>
          </cell>
          <cell r="AE412">
            <v>4.4768361581920901</v>
          </cell>
          <cell r="AG412" t="str">
            <v xml:space="preserve">       e.  Average Length of Stay</v>
          </cell>
          <cell r="AH412">
            <v>0</v>
          </cell>
          <cell r="AI412">
            <v>4.9243697478991599</v>
          </cell>
          <cell r="AJ412">
            <v>0</v>
          </cell>
          <cell r="AK412">
            <v>5.0714285714285712</v>
          </cell>
          <cell r="AL412">
            <v>0</v>
          </cell>
          <cell r="AM412">
            <v>4.9523809523809526</v>
          </cell>
          <cell r="AO412" t="str">
            <v xml:space="preserve">       e.  Average Length of Stay</v>
          </cell>
          <cell r="AP412">
            <v>0</v>
          </cell>
          <cell r="AQ412">
            <v>4.129032258064516</v>
          </cell>
          <cell r="AR412">
            <v>0</v>
          </cell>
          <cell r="AS412">
            <v>4.7142857142857144</v>
          </cell>
          <cell r="AT412">
            <v>0</v>
          </cell>
          <cell r="AU412">
            <v>4.2368421052631575</v>
          </cell>
          <cell r="AW412" t="str">
            <v xml:space="preserve">       e.  Average Length of Stay</v>
          </cell>
          <cell r="AX412">
            <v>0</v>
          </cell>
          <cell r="AY412">
            <v>4.5929203539823007</v>
          </cell>
          <cell r="AZ412">
            <v>0</v>
          </cell>
          <cell r="BA412">
            <v>3.6923076923076925</v>
          </cell>
          <cell r="BB412">
            <v>0</v>
          </cell>
          <cell r="BC412">
            <v>4.5</v>
          </cell>
        </row>
        <row r="414">
          <cell r="A414" t="str">
            <v>D.   Emergency Room Visits</v>
          </cell>
          <cell r="B414">
            <v>0</v>
          </cell>
          <cell r="C414">
            <v>8</v>
          </cell>
          <cell r="D414">
            <v>0</v>
          </cell>
          <cell r="E414">
            <v>3</v>
          </cell>
          <cell r="F414">
            <v>0</v>
          </cell>
          <cell r="G414">
            <v>11</v>
          </cell>
          <cell r="I414" t="str">
            <v>D.   Emergency Room Visits</v>
          </cell>
          <cell r="J414">
            <v>0</v>
          </cell>
          <cell r="K414">
            <v>18</v>
          </cell>
          <cell r="L414">
            <v>0</v>
          </cell>
          <cell r="M414">
            <v>10</v>
          </cell>
          <cell r="N414">
            <v>0</v>
          </cell>
          <cell r="O414">
            <v>28</v>
          </cell>
          <cell r="Q414" t="str">
            <v>D.   Emergency Room Visits</v>
          </cell>
          <cell r="R414">
            <v>0</v>
          </cell>
          <cell r="S414">
            <v>9</v>
          </cell>
          <cell r="T414">
            <v>0</v>
          </cell>
          <cell r="U414">
            <v>1</v>
          </cell>
          <cell r="V414">
            <v>0</v>
          </cell>
          <cell r="W414">
            <v>10</v>
          </cell>
          <cell r="Y414" t="str">
            <v>D.   Emergency Room Visits</v>
          </cell>
          <cell r="Z414">
            <v>0</v>
          </cell>
          <cell r="AA414">
            <v>247</v>
          </cell>
          <cell r="AB414">
            <v>0</v>
          </cell>
          <cell r="AC414">
            <v>131</v>
          </cell>
          <cell r="AD414">
            <v>0</v>
          </cell>
          <cell r="AE414">
            <v>378</v>
          </cell>
          <cell r="AG414" t="str">
            <v>D.   Emergency Room Visits</v>
          </cell>
          <cell r="AH414">
            <v>0</v>
          </cell>
          <cell r="AI414">
            <v>102</v>
          </cell>
          <cell r="AJ414">
            <v>0</v>
          </cell>
          <cell r="AK414">
            <v>32</v>
          </cell>
          <cell r="AL414">
            <v>0</v>
          </cell>
          <cell r="AM414">
            <v>134</v>
          </cell>
          <cell r="AO414" t="str">
            <v>D.   Emergency Room Visits</v>
          </cell>
          <cell r="AP414">
            <v>0</v>
          </cell>
          <cell r="AQ414">
            <v>27</v>
          </cell>
          <cell r="AR414">
            <v>0</v>
          </cell>
          <cell r="AS414">
            <v>12</v>
          </cell>
          <cell r="AT414">
            <v>0</v>
          </cell>
          <cell r="AU414">
            <v>39</v>
          </cell>
          <cell r="AW414" t="str">
            <v>D.   Emergency Room Visits</v>
          </cell>
          <cell r="AX414">
            <v>0</v>
          </cell>
          <cell r="AY414">
            <v>43</v>
          </cell>
          <cell r="AZ414">
            <v>0</v>
          </cell>
          <cell r="BA414">
            <v>10</v>
          </cell>
          <cell r="BB414">
            <v>0</v>
          </cell>
          <cell r="BC414">
            <v>53</v>
          </cell>
        </row>
        <row r="418">
          <cell r="A418" t="str">
            <v>Program Contractor Financial Reporting Systems - Report #11A Utilization Data Report by County</v>
          </cell>
          <cell r="I418" t="str">
            <v>Program Contractor Financial Reporting Systems - Report #11A Utilization Data Report by County</v>
          </cell>
          <cell r="Q418" t="str">
            <v>Program Contractor Financial Reporting Systems - Report #11A Utilization Data Report by County</v>
          </cell>
          <cell r="Y418" t="str">
            <v>Program Contractor Financial Reporting Systems - Report #11A Utilization Data Report by County</v>
          </cell>
          <cell r="AG418" t="str">
            <v>Program Contractor Financial Reporting Systems - Report #11A Utilization Data Report by County</v>
          </cell>
          <cell r="AO418" t="str">
            <v>Program Contractor Financial Reporting Systems - Report #11A Utilization Data Report by County</v>
          </cell>
          <cell r="AW418" t="str">
            <v>Program Contractor Financial Reporting Systems - Report #11A Utilization Data Report by County</v>
          </cell>
        </row>
        <row r="420">
          <cell r="A420" t="str">
            <v>Statement for Program Contractor 110049 - Evercare of Arizona, Inc.</v>
          </cell>
          <cell r="F420" t="str">
            <v>County:</v>
          </cell>
          <cell r="G420" t="str">
            <v>Apache</v>
          </cell>
          <cell r="I420" t="str">
            <v>Statement for Program Contractor 110049 - Evercare of Arizona, Inc.</v>
          </cell>
          <cell r="N420" t="str">
            <v>County:</v>
          </cell>
          <cell r="O420" t="str">
            <v>Coconino</v>
          </cell>
          <cell r="Q420" t="str">
            <v>Statement for Program Contractor 110049 - Evercare of Arizona, Inc.</v>
          </cell>
          <cell r="V420" t="str">
            <v>County:</v>
          </cell>
          <cell r="W420" t="str">
            <v>La Paz</v>
          </cell>
          <cell r="Y420" t="str">
            <v>Statement for Program Contractor 110049 - Evercare of Arizona, Inc.</v>
          </cell>
          <cell r="AD420" t="str">
            <v>County:</v>
          </cell>
          <cell r="AE420" t="str">
            <v>Maricopa</v>
          </cell>
          <cell r="AG420" t="str">
            <v>Statement for Program Contractor 110049 - Evercare of Arizona, Inc.</v>
          </cell>
          <cell r="AL420" t="str">
            <v>County:</v>
          </cell>
          <cell r="AM420" t="str">
            <v>Mohave</v>
          </cell>
          <cell r="AO420" t="str">
            <v>Statement for Program Contractor 110049 - Evercare of Arizona, Inc.</v>
          </cell>
          <cell r="AT420" t="str">
            <v>County:</v>
          </cell>
          <cell r="AU420" t="str">
            <v>Navajo</v>
          </cell>
          <cell r="AW420" t="str">
            <v>Statement for Program Contractor 110049 - Evercare of Arizona, Inc.</v>
          </cell>
          <cell r="BB420" t="str">
            <v>County:</v>
          </cell>
          <cell r="BC420" t="str">
            <v>Yuma</v>
          </cell>
        </row>
        <row r="422">
          <cell r="A422" t="str">
            <v>For the Month ending 7/31/2006 in the Fiscal Year ending 9/30/2006</v>
          </cell>
          <cell r="F422" t="str">
            <v>Page 1 of 21</v>
          </cell>
          <cell r="I422" t="str">
            <v>For the Month ending 7/31/2006 in the Fiscal Year ending 9/30/2006</v>
          </cell>
          <cell r="N422" t="str">
            <v>Page 4 of 21</v>
          </cell>
          <cell r="Q422" t="str">
            <v>For the Month ending 7/31/2006 in the Fiscal Year ending 9/30/2006</v>
          </cell>
          <cell r="V422" t="str">
            <v>Page 7 of 21</v>
          </cell>
          <cell r="Y422" t="str">
            <v>For the Month ending 7/31/2006 in the Fiscal Year ending 9/30/2006</v>
          </cell>
          <cell r="AD422" t="str">
            <v>Page 10 of 21</v>
          </cell>
          <cell r="AG422" t="str">
            <v>For the Month ending 7/31/2006 in the Fiscal Year ending 9/30/2006</v>
          </cell>
          <cell r="AL422" t="str">
            <v>Page 13 of 21</v>
          </cell>
          <cell r="AO422" t="str">
            <v>For the Month ending 7/31/2006 in the Fiscal Year ending 9/30/2006</v>
          </cell>
          <cell r="AT422" t="str">
            <v>Page 16 of 21</v>
          </cell>
          <cell r="AW422" t="str">
            <v>For the Month ending 7/31/2006 in the Fiscal Year ending 9/30/2006</v>
          </cell>
          <cell r="BB422" t="str">
            <v>Page 19 of 21</v>
          </cell>
        </row>
        <row r="425">
          <cell r="A425" t="str">
            <v>Utilization Data Report by County</v>
          </cell>
          <cell r="I425" t="str">
            <v>Utilization Data Report by County</v>
          </cell>
          <cell r="Q425" t="str">
            <v>Utilization Data Report by County</v>
          </cell>
          <cell r="Y425" t="str">
            <v>Utilization Data Report by County</v>
          </cell>
          <cell r="AG425" t="str">
            <v>Utilization Data Report by County</v>
          </cell>
          <cell r="AO425" t="str">
            <v>Utilization Data Report by County</v>
          </cell>
          <cell r="AW425" t="str">
            <v>Utilization Data Report by County</v>
          </cell>
        </row>
        <row r="427">
          <cell r="B427" t="str">
            <v>MEDICARE</v>
          </cell>
          <cell r="D427" t="str">
            <v>NON-MEDICARE</v>
          </cell>
          <cell r="F427" t="str">
            <v>TOTAL</v>
          </cell>
          <cell r="J427" t="str">
            <v>MEDICARE</v>
          </cell>
          <cell r="L427" t="str">
            <v>NON-MEDICARE</v>
          </cell>
          <cell r="N427" t="str">
            <v>TOTAL</v>
          </cell>
          <cell r="R427" t="str">
            <v>MEDICARE</v>
          </cell>
          <cell r="T427" t="str">
            <v>NON-MEDICARE</v>
          </cell>
          <cell r="V427" t="str">
            <v>TOTAL</v>
          </cell>
          <cell r="Z427" t="str">
            <v>MEDICARE</v>
          </cell>
          <cell r="AB427" t="str">
            <v>NON-MEDICARE</v>
          </cell>
          <cell r="AD427" t="str">
            <v>TOTAL</v>
          </cell>
          <cell r="AH427" t="str">
            <v>MEDICARE</v>
          </cell>
          <cell r="AJ427" t="str">
            <v>NON-MEDICARE</v>
          </cell>
          <cell r="AL427" t="str">
            <v>TOTAL</v>
          </cell>
          <cell r="AP427" t="str">
            <v>MEDICARE</v>
          </cell>
          <cell r="AR427" t="str">
            <v>NON-MEDICARE</v>
          </cell>
          <cell r="AT427" t="str">
            <v>TOTAL</v>
          </cell>
          <cell r="AX427" t="str">
            <v>MEDICARE</v>
          </cell>
          <cell r="AZ427" t="str">
            <v>NON-MEDICARE</v>
          </cell>
          <cell r="BB427" t="str">
            <v>TOTAL</v>
          </cell>
        </row>
        <row r="428">
          <cell r="A428" t="str">
            <v>ITEM DESCRIPTION</v>
          </cell>
          <cell r="B428" t="str">
            <v>Current</v>
          </cell>
          <cell r="D428" t="str">
            <v>Current</v>
          </cell>
          <cell r="F428" t="str">
            <v>Current</v>
          </cell>
          <cell r="I428" t="str">
            <v>ITEM DESCRIPTION</v>
          </cell>
          <cell r="J428" t="str">
            <v>Current</v>
          </cell>
          <cell r="L428" t="str">
            <v>Current</v>
          </cell>
          <cell r="N428" t="str">
            <v>Current</v>
          </cell>
          <cell r="Q428" t="str">
            <v>ITEM DESCRIPTION</v>
          </cell>
          <cell r="R428" t="str">
            <v>Current</v>
          </cell>
          <cell r="T428" t="str">
            <v>Current</v>
          </cell>
          <cell r="V428" t="str">
            <v>Current</v>
          </cell>
          <cell r="Y428" t="str">
            <v>ITEM DESCRIPTION</v>
          </cell>
          <cell r="Z428" t="str">
            <v>Current</v>
          </cell>
          <cell r="AB428" t="str">
            <v>Current</v>
          </cell>
          <cell r="AD428" t="str">
            <v>Current</v>
          </cell>
          <cell r="AG428" t="str">
            <v>ITEM DESCRIPTION</v>
          </cell>
          <cell r="AH428" t="str">
            <v>Current</v>
          </cell>
          <cell r="AJ428" t="str">
            <v>Current</v>
          </cell>
          <cell r="AL428" t="str">
            <v>Current</v>
          </cell>
          <cell r="AO428" t="str">
            <v>ITEM DESCRIPTION</v>
          </cell>
          <cell r="AP428" t="str">
            <v>Current</v>
          </cell>
          <cell r="AR428" t="str">
            <v>Current</v>
          </cell>
          <cell r="AT428" t="str">
            <v>Current</v>
          </cell>
          <cell r="AW428" t="str">
            <v>ITEM DESCRIPTION</v>
          </cell>
          <cell r="AX428" t="str">
            <v>Current</v>
          </cell>
          <cell r="AZ428" t="str">
            <v>Current</v>
          </cell>
          <cell r="BB428" t="str">
            <v>Current</v>
          </cell>
        </row>
        <row r="429">
          <cell r="B429" t="str">
            <v>Period</v>
          </cell>
          <cell r="C429" t="str">
            <v>YTD</v>
          </cell>
          <cell r="D429" t="str">
            <v>Period</v>
          </cell>
          <cell r="E429" t="str">
            <v>YTD</v>
          </cell>
          <cell r="F429" t="str">
            <v>Period</v>
          </cell>
          <cell r="G429" t="str">
            <v>YTD</v>
          </cell>
          <cell r="J429" t="str">
            <v>Period</v>
          </cell>
          <cell r="K429" t="str">
            <v>YTD</v>
          </cell>
          <cell r="L429" t="str">
            <v>Period</v>
          </cell>
          <cell r="M429" t="str">
            <v>YTD</v>
          </cell>
          <cell r="N429" t="str">
            <v>Period</v>
          </cell>
          <cell r="O429" t="str">
            <v>YTD</v>
          </cell>
          <cell r="R429" t="str">
            <v>Period</v>
          </cell>
          <cell r="S429" t="str">
            <v>YTD</v>
          </cell>
          <cell r="T429" t="str">
            <v>Period</v>
          </cell>
          <cell r="U429" t="str">
            <v>YTD</v>
          </cell>
          <cell r="V429" t="str">
            <v>Period</v>
          </cell>
          <cell r="W429" t="str">
            <v>YTD</v>
          </cell>
          <cell r="Z429" t="str">
            <v>Period</v>
          </cell>
          <cell r="AA429" t="str">
            <v>YTD</v>
          </cell>
          <cell r="AB429" t="str">
            <v>Period</v>
          </cell>
          <cell r="AC429" t="str">
            <v>YTD</v>
          </cell>
          <cell r="AD429" t="str">
            <v>Period</v>
          </cell>
          <cell r="AE429" t="str">
            <v>YTD</v>
          </cell>
          <cell r="AH429" t="str">
            <v>Period</v>
          </cell>
          <cell r="AI429" t="str">
            <v>YTD</v>
          </cell>
          <cell r="AJ429" t="str">
            <v>Period</v>
          </cell>
          <cell r="AK429" t="str">
            <v>YTD</v>
          </cell>
          <cell r="AL429" t="str">
            <v>Period</v>
          </cell>
          <cell r="AM429" t="str">
            <v>YTD</v>
          </cell>
          <cell r="AP429" t="str">
            <v>Period</v>
          </cell>
          <cell r="AQ429" t="str">
            <v>YTD</v>
          </cell>
          <cell r="AR429" t="str">
            <v>Period</v>
          </cell>
          <cell r="AS429" t="str">
            <v>YTD</v>
          </cell>
          <cell r="AT429" t="str">
            <v>Period</v>
          </cell>
          <cell r="AU429" t="str">
            <v>YTD</v>
          </cell>
          <cell r="AX429" t="str">
            <v>Period</v>
          </cell>
          <cell r="AY429" t="str">
            <v>YTD</v>
          </cell>
          <cell r="AZ429" t="str">
            <v>Period</v>
          </cell>
          <cell r="BA429" t="str">
            <v>YTD</v>
          </cell>
          <cell r="BB429" t="str">
            <v>Period</v>
          </cell>
          <cell r="BC429" t="str">
            <v>YTD</v>
          </cell>
        </row>
        <row r="430">
          <cell r="A430" t="str">
            <v>A.   Enrollees (At End of Period)</v>
          </cell>
          <cell r="B430">
            <v>0</v>
          </cell>
          <cell r="D430">
            <v>0</v>
          </cell>
          <cell r="F430">
            <v>0</v>
          </cell>
          <cell r="I430" t="str">
            <v>A.   Enrollees (At End of Period)</v>
          </cell>
          <cell r="J430">
            <v>0</v>
          </cell>
          <cell r="L430">
            <v>0</v>
          </cell>
          <cell r="N430">
            <v>0</v>
          </cell>
          <cell r="Q430" t="str">
            <v>A.   Enrollees (At End of Period)</v>
          </cell>
          <cell r="R430">
            <v>0</v>
          </cell>
          <cell r="T430">
            <v>0</v>
          </cell>
          <cell r="V430">
            <v>0</v>
          </cell>
          <cell r="Y430" t="str">
            <v>A.   Enrollees (At End of Period)</v>
          </cell>
          <cell r="Z430">
            <v>0</v>
          </cell>
          <cell r="AB430">
            <v>0</v>
          </cell>
          <cell r="AD430">
            <v>0</v>
          </cell>
          <cell r="AG430" t="str">
            <v>A.   Enrollees (At End of Period)</v>
          </cell>
          <cell r="AH430">
            <v>0</v>
          </cell>
          <cell r="AJ430">
            <v>0</v>
          </cell>
          <cell r="AL430">
            <v>0</v>
          </cell>
          <cell r="AO430" t="str">
            <v>A.   Enrollees (At End of Period)</v>
          </cell>
          <cell r="AP430">
            <v>0</v>
          </cell>
          <cell r="AR430">
            <v>0</v>
          </cell>
          <cell r="AT430">
            <v>0</v>
          </cell>
          <cell r="AW430" t="str">
            <v>A.   Enrollees (At End of Period)</v>
          </cell>
          <cell r="AX430">
            <v>0</v>
          </cell>
          <cell r="AZ430">
            <v>0</v>
          </cell>
          <cell r="BB430">
            <v>0</v>
          </cell>
        </row>
        <row r="432">
          <cell r="A432" t="str">
            <v>B.   Member Months (Unduplicated)</v>
          </cell>
          <cell r="B432">
            <v>0</v>
          </cell>
          <cell r="C432">
            <v>190.88669999999996</v>
          </cell>
          <cell r="D432">
            <v>0</v>
          </cell>
          <cell r="E432">
            <v>54.75</v>
          </cell>
          <cell r="F432">
            <v>0</v>
          </cell>
          <cell r="G432">
            <v>245.63669999999996</v>
          </cell>
          <cell r="I432" t="str">
            <v>B.   Member Months (Unduplicated)</v>
          </cell>
          <cell r="J432">
            <v>0</v>
          </cell>
          <cell r="K432">
            <v>513.7274000000001</v>
          </cell>
          <cell r="L432">
            <v>0</v>
          </cell>
          <cell r="M432">
            <v>110.61330000000001</v>
          </cell>
          <cell r="N432">
            <v>0</v>
          </cell>
          <cell r="O432">
            <v>624.34070000000008</v>
          </cell>
          <cell r="Q432" t="str">
            <v>B.   Member Months (Unduplicated)</v>
          </cell>
          <cell r="R432">
            <v>0</v>
          </cell>
          <cell r="S432">
            <v>222.08120000000002</v>
          </cell>
          <cell r="T432">
            <v>0</v>
          </cell>
          <cell r="U432">
            <v>17.07</v>
          </cell>
          <cell r="V432">
            <v>0</v>
          </cell>
          <cell r="W432">
            <v>239.15120000000002</v>
          </cell>
          <cell r="Y432" t="str">
            <v>B.   Member Months (Unduplicated)</v>
          </cell>
          <cell r="Z432">
            <v>0</v>
          </cell>
          <cell r="AA432">
            <v>13367.081800000002</v>
          </cell>
          <cell r="AB432">
            <v>0</v>
          </cell>
          <cell r="AC432">
            <v>1964.4491000000003</v>
          </cell>
          <cell r="AD432">
            <v>0</v>
          </cell>
          <cell r="AE432">
            <v>15331.530900000002</v>
          </cell>
          <cell r="AG432" t="str">
            <v>B.   Member Months (Unduplicated)</v>
          </cell>
          <cell r="AH432">
            <v>0</v>
          </cell>
          <cell r="AI432">
            <v>2465.0030999999999</v>
          </cell>
          <cell r="AJ432">
            <v>0</v>
          </cell>
          <cell r="AK432">
            <v>338.37329999999997</v>
          </cell>
          <cell r="AL432">
            <v>0</v>
          </cell>
          <cell r="AM432">
            <v>2803.3764000000001</v>
          </cell>
          <cell r="AO432" t="str">
            <v>B.   Member Months (Unduplicated)</v>
          </cell>
          <cell r="AP432">
            <v>0</v>
          </cell>
          <cell r="AQ432">
            <v>588.85000000000014</v>
          </cell>
          <cell r="AR432">
            <v>0</v>
          </cell>
          <cell r="AS432">
            <v>145.74229999999997</v>
          </cell>
          <cell r="AT432">
            <v>0</v>
          </cell>
          <cell r="AU432">
            <v>734.59230000000014</v>
          </cell>
          <cell r="AW432" t="str">
            <v>B.   Member Months (Unduplicated)</v>
          </cell>
          <cell r="AX432">
            <v>0</v>
          </cell>
          <cell r="AY432">
            <v>1674.2218</v>
          </cell>
          <cell r="AZ432">
            <v>0</v>
          </cell>
          <cell r="BA432">
            <v>331.96999999999997</v>
          </cell>
          <cell r="BB432">
            <v>0</v>
          </cell>
          <cell r="BC432">
            <v>2006.1918000000001</v>
          </cell>
        </row>
        <row r="433">
          <cell r="A433" t="str">
            <v xml:space="preserve">   Institutional Member Months Total</v>
          </cell>
          <cell r="B433">
            <v>0</v>
          </cell>
          <cell r="C433">
            <v>15.7</v>
          </cell>
          <cell r="D433">
            <v>0</v>
          </cell>
          <cell r="E433">
            <v>11.14</v>
          </cell>
          <cell r="F433">
            <v>0</v>
          </cell>
          <cell r="G433">
            <v>26.84</v>
          </cell>
          <cell r="I433" t="str">
            <v xml:space="preserve">   Institutional Member Months Total</v>
          </cell>
          <cell r="J433">
            <v>0</v>
          </cell>
          <cell r="K433">
            <v>190.48</v>
          </cell>
          <cell r="L433">
            <v>0</v>
          </cell>
          <cell r="M433">
            <v>12.73</v>
          </cell>
          <cell r="N433">
            <v>0</v>
          </cell>
          <cell r="O433">
            <v>203.20999999999998</v>
          </cell>
          <cell r="Q433" t="str">
            <v xml:space="preserve">   Institutional Member Months Total</v>
          </cell>
          <cell r="R433">
            <v>0</v>
          </cell>
          <cell r="S433">
            <v>122.66999999999999</v>
          </cell>
          <cell r="T433">
            <v>0</v>
          </cell>
          <cell r="U433">
            <v>3</v>
          </cell>
          <cell r="V433">
            <v>0</v>
          </cell>
          <cell r="W433">
            <v>125.66999999999999</v>
          </cell>
          <cell r="Y433" t="str">
            <v xml:space="preserve">   Institutional Member Months Total</v>
          </cell>
          <cell r="Z433">
            <v>0</v>
          </cell>
          <cell r="AA433">
            <v>5378.2800000000007</v>
          </cell>
          <cell r="AB433">
            <v>0</v>
          </cell>
          <cell r="AC433">
            <v>460.42000000000007</v>
          </cell>
          <cell r="AD433">
            <v>0</v>
          </cell>
          <cell r="AE433">
            <v>5838.7000000000007</v>
          </cell>
          <cell r="AG433" t="str">
            <v xml:space="preserve">   Institutional Member Months Total</v>
          </cell>
          <cell r="AH433">
            <v>0</v>
          </cell>
          <cell r="AI433">
            <v>1342.8</v>
          </cell>
          <cell r="AJ433">
            <v>0</v>
          </cell>
          <cell r="AK433">
            <v>92.289999999999992</v>
          </cell>
          <cell r="AL433">
            <v>0</v>
          </cell>
          <cell r="AM433">
            <v>1435.09</v>
          </cell>
          <cell r="AO433" t="str">
            <v xml:space="preserve">   Institutional Member Months Total</v>
          </cell>
          <cell r="AP433">
            <v>0</v>
          </cell>
          <cell r="AQ433">
            <v>111.26</v>
          </cell>
          <cell r="AR433">
            <v>0</v>
          </cell>
          <cell r="AS433">
            <v>25.259999999999998</v>
          </cell>
          <cell r="AT433">
            <v>0</v>
          </cell>
          <cell r="AU433">
            <v>136.52000000000001</v>
          </cell>
          <cell r="AW433" t="str">
            <v xml:space="preserve">   Institutional Member Months Total</v>
          </cell>
          <cell r="AX433">
            <v>0</v>
          </cell>
          <cell r="AY433">
            <v>878.52</v>
          </cell>
          <cell r="AZ433">
            <v>0</v>
          </cell>
          <cell r="BA433">
            <v>113.56</v>
          </cell>
          <cell r="BB433">
            <v>0</v>
          </cell>
          <cell r="BC433">
            <v>992.07999999999993</v>
          </cell>
        </row>
        <row r="434">
          <cell r="A434" t="str">
            <v xml:space="preserve">   1.  Level I</v>
          </cell>
          <cell r="B434">
            <v>0</v>
          </cell>
          <cell r="C434">
            <v>6.81</v>
          </cell>
          <cell r="D434">
            <v>0</v>
          </cell>
          <cell r="E434">
            <v>8.14</v>
          </cell>
          <cell r="F434">
            <v>0</v>
          </cell>
          <cell r="G434">
            <v>14.95</v>
          </cell>
          <cell r="I434" t="str">
            <v xml:space="preserve">   1.  Level I</v>
          </cell>
          <cell r="J434">
            <v>0</v>
          </cell>
          <cell r="K434">
            <v>86.49</v>
          </cell>
          <cell r="L434">
            <v>0</v>
          </cell>
          <cell r="M434">
            <v>8.23</v>
          </cell>
          <cell r="N434">
            <v>0</v>
          </cell>
          <cell r="O434">
            <v>94.72</v>
          </cell>
          <cell r="Q434" t="str">
            <v xml:space="preserve">   1.  Level I</v>
          </cell>
          <cell r="R434">
            <v>0</v>
          </cell>
          <cell r="S434">
            <v>78.349999999999994</v>
          </cell>
          <cell r="T434">
            <v>0</v>
          </cell>
          <cell r="U434">
            <v>0</v>
          </cell>
          <cell r="V434">
            <v>0</v>
          </cell>
          <cell r="W434">
            <v>78.349999999999994</v>
          </cell>
          <cell r="Y434" t="str">
            <v xml:space="preserve">   1.  Level I</v>
          </cell>
          <cell r="Z434">
            <v>0</v>
          </cell>
          <cell r="AA434">
            <v>3650.05</v>
          </cell>
          <cell r="AB434">
            <v>0</v>
          </cell>
          <cell r="AC434">
            <v>288.17</v>
          </cell>
          <cell r="AD434">
            <v>0</v>
          </cell>
          <cell r="AE434">
            <v>3938.2200000000003</v>
          </cell>
          <cell r="AG434" t="str">
            <v xml:space="preserve">   1.  Level I</v>
          </cell>
          <cell r="AH434">
            <v>0</v>
          </cell>
          <cell r="AI434">
            <v>607.04999999999995</v>
          </cell>
          <cell r="AJ434">
            <v>0</v>
          </cell>
          <cell r="AK434">
            <v>46.1</v>
          </cell>
          <cell r="AL434">
            <v>0</v>
          </cell>
          <cell r="AM434">
            <v>653.15</v>
          </cell>
          <cell r="AO434" t="str">
            <v xml:space="preserve">   1.  Level I</v>
          </cell>
          <cell r="AP434">
            <v>0</v>
          </cell>
          <cell r="AQ434">
            <v>64.41</v>
          </cell>
          <cell r="AR434">
            <v>0</v>
          </cell>
          <cell r="AS434">
            <v>22.259999999999998</v>
          </cell>
          <cell r="AT434">
            <v>0</v>
          </cell>
          <cell r="AU434">
            <v>86.669999999999987</v>
          </cell>
          <cell r="AW434" t="str">
            <v xml:space="preserve">   1.  Level I</v>
          </cell>
          <cell r="AX434">
            <v>0</v>
          </cell>
          <cell r="AY434">
            <v>471.98</v>
          </cell>
          <cell r="AZ434">
            <v>0</v>
          </cell>
          <cell r="BA434">
            <v>69.94</v>
          </cell>
          <cell r="BB434">
            <v>0</v>
          </cell>
          <cell r="BC434">
            <v>541.92000000000007</v>
          </cell>
        </row>
        <row r="435">
          <cell r="A435" t="str">
            <v xml:space="preserve">   2.  Level II</v>
          </cell>
          <cell r="B435">
            <v>0</v>
          </cell>
          <cell r="C435">
            <v>6.73</v>
          </cell>
          <cell r="D435">
            <v>0</v>
          </cell>
          <cell r="E435">
            <v>3</v>
          </cell>
          <cell r="F435">
            <v>0</v>
          </cell>
          <cell r="G435">
            <v>9.73</v>
          </cell>
          <cell r="I435" t="str">
            <v xml:space="preserve">   2.  Level II</v>
          </cell>
          <cell r="J435">
            <v>0</v>
          </cell>
          <cell r="K435">
            <v>87.8</v>
          </cell>
          <cell r="L435">
            <v>0</v>
          </cell>
          <cell r="M435">
            <v>3</v>
          </cell>
          <cell r="N435">
            <v>0</v>
          </cell>
          <cell r="O435">
            <v>90.8</v>
          </cell>
          <cell r="Q435" t="str">
            <v xml:space="preserve">   2.  Level II</v>
          </cell>
          <cell r="R435">
            <v>0</v>
          </cell>
          <cell r="S435">
            <v>37.57</v>
          </cell>
          <cell r="T435">
            <v>0</v>
          </cell>
          <cell r="U435">
            <v>3</v>
          </cell>
          <cell r="V435">
            <v>0</v>
          </cell>
          <cell r="W435">
            <v>40.57</v>
          </cell>
          <cell r="Y435" t="str">
            <v xml:space="preserve">   2.  Level II</v>
          </cell>
          <cell r="Z435">
            <v>0</v>
          </cell>
          <cell r="AA435">
            <v>1526.49</v>
          </cell>
          <cell r="AB435">
            <v>0</v>
          </cell>
          <cell r="AC435">
            <v>127.19</v>
          </cell>
          <cell r="AD435">
            <v>0</v>
          </cell>
          <cell r="AE435">
            <v>1653.68</v>
          </cell>
          <cell r="AG435" t="str">
            <v xml:space="preserve">   2.  Level II</v>
          </cell>
          <cell r="AH435">
            <v>0</v>
          </cell>
          <cell r="AI435">
            <v>602.55999999999995</v>
          </cell>
          <cell r="AJ435">
            <v>0</v>
          </cell>
          <cell r="AK435">
            <v>28.279999999999998</v>
          </cell>
          <cell r="AL435">
            <v>0</v>
          </cell>
          <cell r="AM435">
            <v>630.83999999999992</v>
          </cell>
          <cell r="AO435" t="str">
            <v xml:space="preserve">   2.  Level II</v>
          </cell>
          <cell r="AP435">
            <v>0</v>
          </cell>
          <cell r="AQ435">
            <v>39.450000000000003</v>
          </cell>
          <cell r="AR435">
            <v>0</v>
          </cell>
          <cell r="AS435">
            <v>3</v>
          </cell>
          <cell r="AT435">
            <v>0</v>
          </cell>
          <cell r="AU435">
            <v>42.45</v>
          </cell>
          <cell r="AW435" t="str">
            <v xml:space="preserve">   2.  Level II</v>
          </cell>
          <cell r="AX435">
            <v>0</v>
          </cell>
          <cell r="AY435">
            <v>357.26</v>
          </cell>
          <cell r="AZ435">
            <v>0</v>
          </cell>
          <cell r="BA435">
            <v>27.619999999999997</v>
          </cell>
          <cell r="BB435">
            <v>0</v>
          </cell>
          <cell r="BC435">
            <v>384.88</v>
          </cell>
        </row>
        <row r="436">
          <cell r="A436" t="str">
            <v xml:space="preserve">   3.  Level III</v>
          </cell>
          <cell r="B436">
            <v>0</v>
          </cell>
          <cell r="C436">
            <v>2.16</v>
          </cell>
          <cell r="D436">
            <v>0</v>
          </cell>
          <cell r="E436">
            <v>0</v>
          </cell>
          <cell r="F436">
            <v>0</v>
          </cell>
          <cell r="G436">
            <v>2.16</v>
          </cell>
          <cell r="I436" t="str">
            <v xml:space="preserve">   3.  Level III</v>
          </cell>
          <cell r="J436">
            <v>0</v>
          </cell>
          <cell r="K436">
            <v>16.190000000000001</v>
          </cell>
          <cell r="L436">
            <v>0</v>
          </cell>
          <cell r="M436">
            <v>1.5</v>
          </cell>
          <cell r="N436">
            <v>0</v>
          </cell>
          <cell r="O436">
            <v>17.690000000000001</v>
          </cell>
          <cell r="Q436" t="str">
            <v xml:space="preserve">   3.  Level III</v>
          </cell>
          <cell r="R436">
            <v>0</v>
          </cell>
          <cell r="S436">
            <v>6.75</v>
          </cell>
          <cell r="T436">
            <v>0</v>
          </cell>
          <cell r="U436">
            <v>0</v>
          </cell>
          <cell r="V436">
            <v>0</v>
          </cell>
          <cell r="W436">
            <v>6.75</v>
          </cell>
          <cell r="Y436" t="str">
            <v xml:space="preserve">   3.  Level III</v>
          </cell>
          <cell r="Z436">
            <v>0</v>
          </cell>
          <cell r="AA436">
            <v>200.77</v>
          </cell>
          <cell r="AB436">
            <v>0</v>
          </cell>
          <cell r="AC436">
            <v>31.090000000000003</v>
          </cell>
          <cell r="AD436">
            <v>0</v>
          </cell>
          <cell r="AE436">
            <v>231.86</v>
          </cell>
          <cell r="AG436" t="str">
            <v xml:space="preserve">   3.  Level III</v>
          </cell>
          <cell r="AH436">
            <v>0</v>
          </cell>
          <cell r="AI436">
            <v>133.19</v>
          </cell>
          <cell r="AJ436">
            <v>0</v>
          </cell>
          <cell r="AK436">
            <v>17.91</v>
          </cell>
          <cell r="AL436">
            <v>0</v>
          </cell>
          <cell r="AM436">
            <v>151.1</v>
          </cell>
          <cell r="AO436" t="str">
            <v xml:space="preserve">   3.  Level III</v>
          </cell>
          <cell r="AP436">
            <v>0</v>
          </cell>
          <cell r="AQ436">
            <v>0.4</v>
          </cell>
          <cell r="AR436">
            <v>0</v>
          </cell>
          <cell r="AS436">
            <v>0</v>
          </cell>
          <cell r="AT436">
            <v>0</v>
          </cell>
          <cell r="AU436">
            <v>0.4</v>
          </cell>
          <cell r="AW436" t="str">
            <v xml:space="preserve">   3.  Level III</v>
          </cell>
          <cell r="AX436">
            <v>0</v>
          </cell>
          <cell r="AY436">
            <v>49.28</v>
          </cell>
          <cell r="AZ436">
            <v>0</v>
          </cell>
          <cell r="BA436">
            <v>16</v>
          </cell>
          <cell r="BB436">
            <v>0</v>
          </cell>
          <cell r="BC436">
            <v>65.28</v>
          </cell>
        </row>
        <row r="437">
          <cell r="A437" t="str">
            <v xml:space="preserve">   4.  Level IV</v>
          </cell>
          <cell r="B437">
            <v>0</v>
          </cell>
          <cell r="C437">
            <v>0</v>
          </cell>
          <cell r="D437">
            <v>0</v>
          </cell>
          <cell r="E437">
            <v>0</v>
          </cell>
          <cell r="F437">
            <v>0</v>
          </cell>
          <cell r="G437">
            <v>0</v>
          </cell>
          <cell r="I437" t="str">
            <v xml:space="preserve">   4.  Level IV</v>
          </cell>
          <cell r="J437">
            <v>0</v>
          </cell>
          <cell r="K437">
            <v>0</v>
          </cell>
          <cell r="L437">
            <v>0</v>
          </cell>
          <cell r="M437">
            <v>0</v>
          </cell>
          <cell r="N437">
            <v>0</v>
          </cell>
          <cell r="O437">
            <v>0</v>
          </cell>
          <cell r="Q437" t="str">
            <v xml:space="preserve">   4.  Level IV</v>
          </cell>
          <cell r="R437">
            <v>0</v>
          </cell>
          <cell r="S437">
            <v>0</v>
          </cell>
          <cell r="T437">
            <v>0</v>
          </cell>
          <cell r="U437">
            <v>0</v>
          </cell>
          <cell r="V437">
            <v>0</v>
          </cell>
          <cell r="W437">
            <v>0</v>
          </cell>
          <cell r="Y437" t="str">
            <v xml:space="preserve">   4.  Level IV</v>
          </cell>
          <cell r="Z437">
            <v>0</v>
          </cell>
          <cell r="AA437">
            <v>0.97</v>
          </cell>
          <cell r="AB437">
            <v>0</v>
          </cell>
          <cell r="AC437">
            <v>13.969999999999999</v>
          </cell>
          <cell r="AD437">
            <v>0</v>
          </cell>
          <cell r="AE437">
            <v>14.94</v>
          </cell>
          <cell r="AG437" t="str">
            <v xml:space="preserve">   4.  Level IV</v>
          </cell>
          <cell r="AH437">
            <v>0</v>
          </cell>
          <cell r="AI437">
            <v>0</v>
          </cell>
          <cell r="AJ437">
            <v>0</v>
          </cell>
          <cell r="AK437">
            <v>0</v>
          </cell>
          <cell r="AL437">
            <v>0</v>
          </cell>
          <cell r="AM437">
            <v>0</v>
          </cell>
          <cell r="AO437" t="str">
            <v xml:space="preserve">   4.  Level IV</v>
          </cell>
          <cell r="AP437">
            <v>0</v>
          </cell>
          <cell r="AQ437">
            <v>7</v>
          </cell>
          <cell r="AR437">
            <v>0</v>
          </cell>
          <cell r="AS437">
            <v>0</v>
          </cell>
          <cell r="AT437">
            <v>0</v>
          </cell>
          <cell r="AU437">
            <v>7</v>
          </cell>
          <cell r="AW437" t="str">
            <v xml:space="preserve">   4.  Level IV</v>
          </cell>
          <cell r="AX437">
            <v>0</v>
          </cell>
          <cell r="AY437">
            <v>0</v>
          </cell>
          <cell r="AZ437">
            <v>0</v>
          </cell>
          <cell r="BA437">
            <v>0</v>
          </cell>
          <cell r="BB437">
            <v>0</v>
          </cell>
          <cell r="BC437">
            <v>0</v>
          </cell>
        </row>
        <row r="438">
          <cell r="A438" t="str">
            <v xml:space="preserve">   5.</v>
          </cell>
          <cell r="I438" t="str">
            <v xml:space="preserve">   5.</v>
          </cell>
          <cell r="Q438" t="str">
            <v xml:space="preserve">   5.</v>
          </cell>
          <cell r="Y438" t="str">
            <v xml:space="preserve">   5.</v>
          </cell>
          <cell r="AG438" t="str">
            <v xml:space="preserve">   5.</v>
          </cell>
          <cell r="AO438" t="str">
            <v xml:space="preserve">   5.</v>
          </cell>
          <cell r="AW438" t="str">
            <v xml:space="preserve">   5.</v>
          </cell>
        </row>
        <row r="439">
          <cell r="A439" t="str">
            <v xml:space="preserve">   6.</v>
          </cell>
          <cell r="I439" t="str">
            <v xml:space="preserve">   6.</v>
          </cell>
          <cell r="Q439" t="str">
            <v xml:space="preserve">   6.</v>
          </cell>
          <cell r="Y439" t="str">
            <v xml:space="preserve">   6.</v>
          </cell>
          <cell r="AG439" t="str">
            <v xml:space="preserve">   6.</v>
          </cell>
          <cell r="AO439" t="str">
            <v xml:space="preserve">   6.</v>
          </cell>
          <cell r="AW439" t="str">
            <v xml:space="preserve">   6.</v>
          </cell>
        </row>
        <row r="440">
          <cell r="A440" t="str">
            <v xml:space="preserve">   7.  Home and Community Based Services (HCBS) Total</v>
          </cell>
          <cell r="B440">
            <v>0</v>
          </cell>
          <cell r="C440">
            <v>193.30999999999997</v>
          </cell>
          <cell r="D440">
            <v>0</v>
          </cell>
          <cell r="E440">
            <v>50.61</v>
          </cell>
          <cell r="F440">
            <v>0</v>
          </cell>
          <cell r="G440">
            <v>243.91999999999996</v>
          </cell>
          <cell r="I440" t="str">
            <v xml:space="preserve">   7.  Home and Community Based Services (HCBS) Total</v>
          </cell>
          <cell r="J440">
            <v>0</v>
          </cell>
          <cell r="K440">
            <v>338.48</v>
          </cell>
          <cell r="L440">
            <v>0</v>
          </cell>
          <cell r="M440">
            <v>88.35</v>
          </cell>
          <cell r="N440">
            <v>0</v>
          </cell>
          <cell r="O440">
            <v>426.83000000000004</v>
          </cell>
          <cell r="Q440" t="str">
            <v xml:space="preserve">   7.  Home and Community Based Services (HCBS) Total</v>
          </cell>
          <cell r="R440">
            <v>0</v>
          </cell>
          <cell r="S440">
            <v>95.550000000000011</v>
          </cell>
          <cell r="T440">
            <v>0</v>
          </cell>
          <cell r="U440">
            <v>14.07</v>
          </cell>
          <cell r="V440">
            <v>0</v>
          </cell>
          <cell r="W440">
            <v>109.62</v>
          </cell>
          <cell r="Y440" t="str">
            <v xml:space="preserve">   7.  Home and Community Based Services (HCBS) Total</v>
          </cell>
          <cell r="Z440">
            <v>0</v>
          </cell>
          <cell r="AA440">
            <v>8554.57</v>
          </cell>
          <cell r="AB440">
            <v>0</v>
          </cell>
          <cell r="AC440">
            <v>1510.57</v>
          </cell>
          <cell r="AD440">
            <v>0</v>
          </cell>
          <cell r="AE440">
            <v>10065.14</v>
          </cell>
          <cell r="AG440" t="str">
            <v xml:space="preserve">   7.  Home and Community Based Services (HCBS) Total</v>
          </cell>
          <cell r="AH440">
            <v>0</v>
          </cell>
          <cell r="AI440">
            <v>1325.78</v>
          </cell>
          <cell r="AJ440">
            <v>0</v>
          </cell>
          <cell r="AK440">
            <v>251.34</v>
          </cell>
          <cell r="AL440">
            <v>0</v>
          </cell>
          <cell r="AM440">
            <v>1577.12</v>
          </cell>
          <cell r="AO440" t="str">
            <v xml:space="preserve">   7.  Home and Community Based Services (HCBS) Total</v>
          </cell>
          <cell r="AP440">
            <v>0</v>
          </cell>
          <cell r="AQ440">
            <v>479.69000000000005</v>
          </cell>
          <cell r="AR440">
            <v>0</v>
          </cell>
          <cell r="AS440">
            <v>135.70999999999998</v>
          </cell>
          <cell r="AT440">
            <v>0</v>
          </cell>
          <cell r="AU440">
            <v>615.40000000000009</v>
          </cell>
          <cell r="AW440" t="str">
            <v xml:space="preserve">   7.  Home and Community Based Services (HCBS) Total</v>
          </cell>
          <cell r="AX440">
            <v>0</v>
          </cell>
          <cell r="AY440">
            <v>1021.8000000000001</v>
          </cell>
          <cell r="AZ440">
            <v>0</v>
          </cell>
          <cell r="BA440">
            <v>258.95</v>
          </cell>
          <cell r="BB440">
            <v>0</v>
          </cell>
          <cell r="BC440">
            <v>1280.75</v>
          </cell>
        </row>
        <row r="441">
          <cell r="A441" t="str">
            <v xml:space="preserve">       a.  Adult Foster Care</v>
          </cell>
          <cell r="B441">
            <v>0</v>
          </cell>
          <cell r="C441">
            <v>0</v>
          </cell>
          <cell r="D441">
            <v>0</v>
          </cell>
          <cell r="E441">
            <v>0</v>
          </cell>
          <cell r="F441">
            <v>0</v>
          </cell>
          <cell r="G441">
            <v>0</v>
          </cell>
          <cell r="I441" t="str">
            <v xml:space="preserve">       a.  Adult Foster Care</v>
          </cell>
          <cell r="J441">
            <v>0</v>
          </cell>
          <cell r="K441">
            <v>0</v>
          </cell>
          <cell r="L441">
            <v>0</v>
          </cell>
          <cell r="M441">
            <v>1.17</v>
          </cell>
          <cell r="N441">
            <v>0</v>
          </cell>
          <cell r="O441">
            <v>1.17</v>
          </cell>
          <cell r="Q441" t="str">
            <v xml:space="preserve">       a.  Adult Foster Care</v>
          </cell>
          <cell r="R441">
            <v>0</v>
          </cell>
          <cell r="S441">
            <v>0</v>
          </cell>
          <cell r="T441">
            <v>0</v>
          </cell>
          <cell r="U441">
            <v>0</v>
          </cell>
          <cell r="V441">
            <v>0</v>
          </cell>
          <cell r="W441">
            <v>0</v>
          </cell>
          <cell r="Y441" t="str">
            <v xml:space="preserve">       a.  Adult Foster Care</v>
          </cell>
          <cell r="Z441">
            <v>0</v>
          </cell>
          <cell r="AA441">
            <v>161.51</v>
          </cell>
          <cell r="AB441">
            <v>0</v>
          </cell>
          <cell r="AC441">
            <v>26.04</v>
          </cell>
          <cell r="AD441">
            <v>0</v>
          </cell>
          <cell r="AE441">
            <v>187.54999999999998</v>
          </cell>
          <cell r="AG441" t="str">
            <v xml:space="preserve">       a.  Adult Foster Care</v>
          </cell>
          <cell r="AH441">
            <v>0</v>
          </cell>
          <cell r="AI441">
            <v>12.9</v>
          </cell>
          <cell r="AJ441">
            <v>0</v>
          </cell>
          <cell r="AK441">
            <v>5.73</v>
          </cell>
          <cell r="AL441">
            <v>0</v>
          </cell>
          <cell r="AM441">
            <v>18.630000000000003</v>
          </cell>
          <cell r="AO441" t="str">
            <v xml:space="preserve">       a.  Adult Foster Care</v>
          </cell>
          <cell r="AP441">
            <v>0</v>
          </cell>
          <cell r="AQ441">
            <v>0</v>
          </cell>
          <cell r="AR441">
            <v>0</v>
          </cell>
          <cell r="AS441">
            <v>0</v>
          </cell>
          <cell r="AT441">
            <v>0</v>
          </cell>
          <cell r="AU441">
            <v>0</v>
          </cell>
          <cell r="AW441" t="str">
            <v xml:space="preserve">       a.  Adult Foster Care</v>
          </cell>
          <cell r="AX441">
            <v>0</v>
          </cell>
          <cell r="AY441">
            <v>4</v>
          </cell>
          <cell r="AZ441">
            <v>0</v>
          </cell>
          <cell r="BA441">
            <v>0</v>
          </cell>
          <cell r="BB441">
            <v>0</v>
          </cell>
          <cell r="BC441">
            <v>4</v>
          </cell>
        </row>
        <row r="442">
          <cell r="A442" t="str">
            <v xml:space="preserve">       b.  Assisted Living Home (Adult Care Home)</v>
          </cell>
          <cell r="B442">
            <v>0</v>
          </cell>
          <cell r="C442">
            <v>44.36</v>
          </cell>
          <cell r="D442">
            <v>0</v>
          </cell>
          <cell r="E442">
            <v>1.66</v>
          </cell>
          <cell r="F442">
            <v>0</v>
          </cell>
          <cell r="G442">
            <v>46.019999999999996</v>
          </cell>
          <cell r="I442" t="str">
            <v xml:space="preserve">       b.  Assisted Living Home (Adult Care Home)</v>
          </cell>
          <cell r="J442">
            <v>0</v>
          </cell>
          <cell r="K442">
            <v>19.060000000000002</v>
          </cell>
          <cell r="L442">
            <v>0</v>
          </cell>
          <cell r="M442">
            <v>4.7</v>
          </cell>
          <cell r="N442">
            <v>0</v>
          </cell>
          <cell r="O442">
            <v>23.76</v>
          </cell>
          <cell r="Q442" t="str">
            <v xml:space="preserve">       b.  Assisted Living Home (Adult Care Home)</v>
          </cell>
          <cell r="R442">
            <v>0</v>
          </cell>
          <cell r="S442">
            <v>0</v>
          </cell>
          <cell r="T442">
            <v>0</v>
          </cell>
          <cell r="U442">
            <v>0</v>
          </cell>
          <cell r="V442">
            <v>0</v>
          </cell>
          <cell r="W442">
            <v>0</v>
          </cell>
          <cell r="Y442" t="str">
            <v xml:space="preserve">       b.  Assisted Living Home (Adult Care Home)</v>
          </cell>
          <cell r="Z442">
            <v>0</v>
          </cell>
          <cell r="AA442">
            <v>1894.61</v>
          </cell>
          <cell r="AB442">
            <v>0</v>
          </cell>
          <cell r="AC442">
            <v>120.88</v>
          </cell>
          <cell r="AD442">
            <v>0</v>
          </cell>
          <cell r="AE442">
            <v>2015.4899999999998</v>
          </cell>
          <cell r="AG442" t="str">
            <v xml:space="preserve">       b.  Assisted Living Home (Adult Care Home)</v>
          </cell>
          <cell r="AH442">
            <v>0</v>
          </cell>
          <cell r="AI442">
            <v>30.16</v>
          </cell>
          <cell r="AJ442">
            <v>0</v>
          </cell>
          <cell r="AK442">
            <v>10.3</v>
          </cell>
          <cell r="AL442">
            <v>0</v>
          </cell>
          <cell r="AM442">
            <v>40.46</v>
          </cell>
          <cell r="AO442" t="str">
            <v xml:space="preserve">       b.  Assisted Living Home (Adult Care Home)</v>
          </cell>
          <cell r="AP442">
            <v>0</v>
          </cell>
          <cell r="AQ442">
            <v>84.77</v>
          </cell>
          <cell r="AR442">
            <v>0</v>
          </cell>
          <cell r="AS442">
            <v>12</v>
          </cell>
          <cell r="AT442">
            <v>0</v>
          </cell>
          <cell r="AU442">
            <v>96.77</v>
          </cell>
          <cell r="AW442" t="str">
            <v xml:space="preserve">       b.  Assisted Living Home (Adult Care Home)</v>
          </cell>
          <cell r="AX442">
            <v>0</v>
          </cell>
          <cell r="AY442">
            <v>114.64999999999999</v>
          </cell>
          <cell r="AZ442">
            <v>0</v>
          </cell>
          <cell r="BA442">
            <v>10.27</v>
          </cell>
          <cell r="BB442">
            <v>0</v>
          </cell>
          <cell r="BC442">
            <v>124.91999999999999</v>
          </cell>
        </row>
        <row r="443">
          <cell r="A443" t="str">
            <v xml:space="preserve">       c.  Group Home (DD)</v>
          </cell>
          <cell r="B443">
            <v>0</v>
          </cell>
          <cell r="C443">
            <v>0</v>
          </cell>
          <cell r="D443">
            <v>0</v>
          </cell>
          <cell r="E443">
            <v>0</v>
          </cell>
          <cell r="F443">
            <v>0</v>
          </cell>
          <cell r="G443">
            <v>0</v>
          </cell>
          <cell r="I443" t="str">
            <v xml:space="preserve">       c.  Group Home (DD)</v>
          </cell>
          <cell r="J443">
            <v>0</v>
          </cell>
          <cell r="K443">
            <v>0</v>
          </cell>
          <cell r="L443">
            <v>0</v>
          </cell>
          <cell r="M443">
            <v>0</v>
          </cell>
          <cell r="N443">
            <v>0</v>
          </cell>
          <cell r="O443">
            <v>0</v>
          </cell>
          <cell r="Q443" t="str">
            <v xml:space="preserve">       c.  Group Home (DD)</v>
          </cell>
          <cell r="R443">
            <v>0</v>
          </cell>
          <cell r="S443">
            <v>0</v>
          </cell>
          <cell r="T443">
            <v>0</v>
          </cell>
          <cell r="U443">
            <v>0</v>
          </cell>
          <cell r="V443">
            <v>0</v>
          </cell>
          <cell r="W443">
            <v>0</v>
          </cell>
          <cell r="Y443" t="str">
            <v xml:space="preserve">       c.  Group Home (DD)</v>
          </cell>
          <cell r="Z443">
            <v>0</v>
          </cell>
          <cell r="AA443">
            <v>4.0299999999999994</v>
          </cell>
          <cell r="AB443">
            <v>0</v>
          </cell>
          <cell r="AC443">
            <v>0</v>
          </cell>
          <cell r="AD443">
            <v>0</v>
          </cell>
          <cell r="AE443">
            <v>4.0299999999999994</v>
          </cell>
          <cell r="AG443" t="str">
            <v xml:space="preserve">       c.  Group Home (DD)</v>
          </cell>
          <cell r="AH443">
            <v>0</v>
          </cell>
          <cell r="AI443">
            <v>0</v>
          </cell>
          <cell r="AJ443">
            <v>0</v>
          </cell>
          <cell r="AK443">
            <v>0</v>
          </cell>
          <cell r="AL443">
            <v>0</v>
          </cell>
          <cell r="AM443">
            <v>0</v>
          </cell>
          <cell r="AO443" t="str">
            <v xml:space="preserve">       c.  Group Home (DD)</v>
          </cell>
          <cell r="AP443">
            <v>0</v>
          </cell>
          <cell r="AQ443">
            <v>0</v>
          </cell>
          <cell r="AR443">
            <v>0</v>
          </cell>
          <cell r="AS443">
            <v>0</v>
          </cell>
          <cell r="AT443">
            <v>0</v>
          </cell>
          <cell r="AU443">
            <v>0</v>
          </cell>
          <cell r="AW443" t="str">
            <v xml:space="preserve">       c.  Group Home (DD)</v>
          </cell>
          <cell r="AX443">
            <v>0</v>
          </cell>
          <cell r="AY443">
            <v>0</v>
          </cell>
          <cell r="AZ443">
            <v>0</v>
          </cell>
          <cell r="BA443">
            <v>0</v>
          </cell>
          <cell r="BB443">
            <v>0</v>
          </cell>
          <cell r="BC443">
            <v>0</v>
          </cell>
        </row>
        <row r="444">
          <cell r="A444" t="str">
            <v xml:space="preserve">       d.  Individual Home</v>
          </cell>
          <cell r="B444">
            <v>0</v>
          </cell>
          <cell r="C444">
            <v>79.72999999999999</v>
          </cell>
          <cell r="D444">
            <v>0</v>
          </cell>
          <cell r="E444">
            <v>36.950000000000003</v>
          </cell>
          <cell r="F444">
            <v>0</v>
          </cell>
          <cell r="G444">
            <v>116.67999999999999</v>
          </cell>
          <cell r="I444" t="str">
            <v xml:space="preserve">       d.  Individual Home</v>
          </cell>
          <cell r="J444">
            <v>0</v>
          </cell>
          <cell r="K444">
            <v>104.99</v>
          </cell>
          <cell r="L444">
            <v>0</v>
          </cell>
          <cell r="M444">
            <v>45.69</v>
          </cell>
          <cell r="N444">
            <v>0</v>
          </cell>
          <cell r="O444">
            <v>150.68</v>
          </cell>
          <cell r="Q444" t="str">
            <v xml:space="preserve">       d.  Individual Home</v>
          </cell>
          <cell r="R444">
            <v>0</v>
          </cell>
          <cell r="S444">
            <v>69.900000000000006</v>
          </cell>
          <cell r="T444">
            <v>0</v>
          </cell>
          <cell r="U444">
            <v>3</v>
          </cell>
          <cell r="V444">
            <v>0</v>
          </cell>
          <cell r="W444">
            <v>72.900000000000006</v>
          </cell>
          <cell r="Y444" t="str">
            <v xml:space="preserve">       d.  Individual Home</v>
          </cell>
          <cell r="Z444">
            <v>0</v>
          </cell>
          <cell r="AA444">
            <v>1965.87</v>
          </cell>
          <cell r="AB444">
            <v>0</v>
          </cell>
          <cell r="AC444">
            <v>726.05</v>
          </cell>
          <cell r="AD444">
            <v>0</v>
          </cell>
          <cell r="AE444">
            <v>2691.92</v>
          </cell>
          <cell r="AG444" t="str">
            <v xml:space="preserve">       d.  Individual Home</v>
          </cell>
          <cell r="AH444">
            <v>0</v>
          </cell>
          <cell r="AI444">
            <v>534.37</v>
          </cell>
          <cell r="AJ444">
            <v>0</v>
          </cell>
          <cell r="AK444">
            <v>126.09</v>
          </cell>
          <cell r="AL444">
            <v>0</v>
          </cell>
          <cell r="AM444">
            <v>660.46</v>
          </cell>
          <cell r="AO444" t="str">
            <v xml:space="preserve">       d.  Individual Home</v>
          </cell>
          <cell r="AP444">
            <v>0</v>
          </cell>
          <cell r="AQ444">
            <v>196.08</v>
          </cell>
          <cell r="AR444">
            <v>0</v>
          </cell>
          <cell r="AS444">
            <v>78.42</v>
          </cell>
          <cell r="AT444">
            <v>0</v>
          </cell>
          <cell r="AU444">
            <v>274.5</v>
          </cell>
          <cell r="AW444" t="str">
            <v xml:space="preserve">       d.  Individual Home</v>
          </cell>
          <cell r="AX444">
            <v>0</v>
          </cell>
          <cell r="AY444">
            <v>336.13</v>
          </cell>
          <cell r="AZ444">
            <v>0</v>
          </cell>
          <cell r="BA444">
            <v>124.83999999999999</v>
          </cell>
          <cell r="BB444">
            <v>0</v>
          </cell>
          <cell r="BC444">
            <v>460.96999999999997</v>
          </cell>
        </row>
        <row r="445">
          <cell r="A445" t="str">
            <v xml:space="preserve">       e.  Assisted Living Centers (SRL)</v>
          </cell>
          <cell r="B445">
            <v>0</v>
          </cell>
          <cell r="C445">
            <v>3.3200000000000003</v>
          </cell>
          <cell r="D445">
            <v>0</v>
          </cell>
          <cell r="E445">
            <v>3</v>
          </cell>
          <cell r="F445">
            <v>0</v>
          </cell>
          <cell r="G445">
            <v>6.32</v>
          </cell>
          <cell r="I445" t="str">
            <v xml:space="preserve">       e.  Assisted Living Centers (SRL)</v>
          </cell>
          <cell r="J445">
            <v>0</v>
          </cell>
          <cell r="K445">
            <v>144.38999999999999</v>
          </cell>
          <cell r="L445">
            <v>0</v>
          </cell>
          <cell r="M445">
            <v>8.17</v>
          </cell>
          <cell r="N445">
            <v>0</v>
          </cell>
          <cell r="O445">
            <v>152.55999999999997</v>
          </cell>
          <cell r="Q445" t="str">
            <v xml:space="preserve">       e.  Assisted Living Centers (SRL)</v>
          </cell>
          <cell r="R445">
            <v>0</v>
          </cell>
          <cell r="S445">
            <v>8.65</v>
          </cell>
          <cell r="T445">
            <v>0</v>
          </cell>
          <cell r="U445">
            <v>0</v>
          </cell>
          <cell r="V445">
            <v>0</v>
          </cell>
          <cell r="W445">
            <v>8.65</v>
          </cell>
          <cell r="Y445" t="str">
            <v xml:space="preserve">       e.  Assisted Living Centers (SRL)</v>
          </cell>
          <cell r="Z445">
            <v>0</v>
          </cell>
          <cell r="AA445">
            <v>2157.25</v>
          </cell>
          <cell r="AB445">
            <v>0</v>
          </cell>
          <cell r="AC445">
            <v>134.42000000000002</v>
          </cell>
          <cell r="AD445">
            <v>0</v>
          </cell>
          <cell r="AE445">
            <v>2291.67</v>
          </cell>
          <cell r="AG445" t="str">
            <v xml:space="preserve">       e.  Assisted Living Centers (SRL)</v>
          </cell>
          <cell r="AH445">
            <v>0</v>
          </cell>
          <cell r="AI445">
            <v>365.73</v>
          </cell>
          <cell r="AJ445">
            <v>0</v>
          </cell>
          <cell r="AK445">
            <v>51.73</v>
          </cell>
          <cell r="AL445">
            <v>0</v>
          </cell>
          <cell r="AM445">
            <v>417.46000000000004</v>
          </cell>
          <cell r="AO445" t="str">
            <v xml:space="preserve">       e.  Assisted Living Centers (SRL)</v>
          </cell>
          <cell r="AP445">
            <v>0</v>
          </cell>
          <cell r="AQ445">
            <v>57.95</v>
          </cell>
          <cell r="AR445">
            <v>0</v>
          </cell>
          <cell r="AS445">
            <v>9.8000000000000007</v>
          </cell>
          <cell r="AT445">
            <v>0</v>
          </cell>
          <cell r="AU445">
            <v>67.75</v>
          </cell>
          <cell r="AW445" t="str">
            <v xml:space="preserve">       e.  Assisted Living Centers (SRL)</v>
          </cell>
          <cell r="AX445">
            <v>0</v>
          </cell>
          <cell r="AY445">
            <v>144.34</v>
          </cell>
          <cell r="AZ445">
            <v>0</v>
          </cell>
          <cell r="BA445">
            <v>16.86</v>
          </cell>
          <cell r="BB445">
            <v>0</v>
          </cell>
          <cell r="BC445">
            <v>161.19999999999999</v>
          </cell>
        </row>
        <row r="446">
          <cell r="A446" t="str">
            <v xml:space="preserve">       f.  Other (Hospice)</v>
          </cell>
          <cell r="B446">
            <v>0</v>
          </cell>
          <cell r="C446">
            <v>17.420000000000002</v>
          </cell>
          <cell r="D446">
            <v>0</v>
          </cell>
          <cell r="E446">
            <v>0</v>
          </cell>
          <cell r="F446">
            <v>0</v>
          </cell>
          <cell r="G446">
            <v>17.420000000000002</v>
          </cell>
          <cell r="I446" t="str">
            <v xml:space="preserve">       f.  Other (Hospice)</v>
          </cell>
          <cell r="J446">
            <v>0</v>
          </cell>
          <cell r="K446">
            <v>1.9100000000000001</v>
          </cell>
          <cell r="L446">
            <v>0</v>
          </cell>
          <cell r="M446">
            <v>0</v>
          </cell>
          <cell r="N446">
            <v>0</v>
          </cell>
          <cell r="O446">
            <v>1.9100000000000001</v>
          </cell>
          <cell r="Q446" t="str">
            <v xml:space="preserve">       f.  Other (Hospice)</v>
          </cell>
          <cell r="R446">
            <v>0</v>
          </cell>
          <cell r="S446">
            <v>0</v>
          </cell>
          <cell r="T446">
            <v>0</v>
          </cell>
          <cell r="U446">
            <v>3</v>
          </cell>
          <cell r="V446">
            <v>0</v>
          </cell>
          <cell r="W446">
            <v>3</v>
          </cell>
          <cell r="Y446" t="str">
            <v xml:space="preserve">       f.  Other (Hospice)</v>
          </cell>
          <cell r="Z446">
            <v>0</v>
          </cell>
          <cell r="AA446">
            <v>287.98</v>
          </cell>
          <cell r="AB446">
            <v>0</v>
          </cell>
          <cell r="AC446">
            <v>6.83</v>
          </cell>
          <cell r="AD446">
            <v>0</v>
          </cell>
          <cell r="AE446">
            <v>294.81</v>
          </cell>
          <cell r="AG446" t="str">
            <v xml:space="preserve">       f.  Other (Hospice)</v>
          </cell>
          <cell r="AH446">
            <v>0</v>
          </cell>
          <cell r="AI446">
            <v>4.0600000000000005</v>
          </cell>
          <cell r="AJ446">
            <v>0</v>
          </cell>
          <cell r="AK446">
            <v>0</v>
          </cell>
          <cell r="AL446">
            <v>0</v>
          </cell>
          <cell r="AM446">
            <v>4.0600000000000005</v>
          </cell>
          <cell r="AO446" t="str">
            <v xml:space="preserve">       f.  Other (Hospice)</v>
          </cell>
          <cell r="AP446">
            <v>0</v>
          </cell>
          <cell r="AQ446">
            <v>16.420000000000002</v>
          </cell>
          <cell r="AR446">
            <v>0</v>
          </cell>
          <cell r="AS446">
            <v>6.49</v>
          </cell>
          <cell r="AT446">
            <v>0</v>
          </cell>
          <cell r="AU446">
            <v>22.910000000000004</v>
          </cell>
          <cell r="AW446" t="str">
            <v xml:space="preserve">       f.  Other (Hospice)</v>
          </cell>
          <cell r="AX446">
            <v>0</v>
          </cell>
          <cell r="AY446">
            <v>25.36</v>
          </cell>
          <cell r="AZ446">
            <v>0</v>
          </cell>
          <cell r="BA446">
            <v>1.9</v>
          </cell>
          <cell r="BB446">
            <v>0</v>
          </cell>
          <cell r="BC446">
            <v>27.259999999999998</v>
          </cell>
        </row>
        <row r="447">
          <cell r="A447" t="str">
            <v xml:space="preserve">       g.  Attendant Care</v>
          </cell>
          <cell r="B447">
            <v>0</v>
          </cell>
          <cell r="C447">
            <v>48.48</v>
          </cell>
          <cell r="D447">
            <v>0</v>
          </cell>
          <cell r="E447">
            <v>9</v>
          </cell>
          <cell r="F447">
            <v>0</v>
          </cell>
          <cell r="G447">
            <v>57.48</v>
          </cell>
          <cell r="I447" t="str">
            <v xml:space="preserve">       g.  Attendant Care</v>
          </cell>
          <cell r="J447">
            <v>0</v>
          </cell>
          <cell r="K447">
            <v>68.13</v>
          </cell>
          <cell r="L447">
            <v>0</v>
          </cell>
          <cell r="M447">
            <v>28.619999999999997</v>
          </cell>
          <cell r="N447">
            <v>0</v>
          </cell>
          <cell r="O447">
            <v>96.75</v>
          </cell>
          <cell r="Q447" t="str">
            <v xml:space="preserve">       g.  Attendant Care</v>
          </cell>
          <cell r="R447">
            <v>0</v>
          </cell>
          <cell r="S447">
            <v>17</v>
          </cell>
          <cell r="T447">
            <v>0</v>
          </cell>
          <cell r="U447">
            <v>8.07</v>
          </cell>
          <cell r="V447">
            <v>0</v>
          </cell>
          <cell r="W447">
            <v>25.07</v>
          </cell>
          <cell r="Y447" t="str">
            <v xml:space="preserve">       g.  Attendant Care</v>
          </cell>
          <cell r="Z447">
            <v>0</v>
          </cell>
          <cell r="AA447">
            <v>2083.3200000000002</v>
          </cell>
          <cell r="AB447">
            <v>0</v>
          </cell>
          <cell r="AC447">
            <v>496.35</v>
          </cell>
          <cell r="AD447">
            <v>0</v>
          </cell>
          <cell r="AE447">
            <v>2579.67</v>
          </cell>
          <cell r="AG447" t="str">
            <v xml:space="preserve">       g.  Attendant Care</v>
          </cell>
          <cell r="AH447">
            <v>0</v>
          </cell>
          <cell r="AI447">
            <v>378.56</v>
          </cell>
          <cell r="AJ447">
            <v>0</v>
          </cell>
          <cell r="AK447">
            <v>57.490000000000009</v>
          </cell>
          <cell r="AL447">
            <v>0</v>
          </cell>
          <cell r="AM447">
            <v>436.05</v>
          </cell>
          <cell r="AO447" t="str">
            <v xml:space="preserve">       g.  Attendant Care</v>
          </cell>
          <cell r="AP447">
            <v>0</v>
          </cell>
          <cell r="AQ447">
            <v>124.47</v>
          </cell>
          <cell r="AR447">
            <v>0</v>
          </cell>
          <cell r="AS447">
            <v>29</v>
          </cell>
          <cell r="AT447">
            <v>0</v>
          </cell>
          <cell r="AU447">
            <v>153.47</v>
          </cell>
          <cell r="AW447" t="str">
            <v xml:space="preserve">       g.  Attendant Care</v>
          </cell>
          <cell r="AX447">
            <v>0</v>
          </cell>
          <cell r="AY447">
            <v>397.32000000000005</v>
          </cell>
          <cell r="AZ447">
            <v>0</v>
          </cell>
          <cell r="BA447">
            <v>105.08000000000001</v>
          </cell>
          <cell r="BB447">
            <v>0</v>
          </cell>
          <cell r="BC447">
            <v>502.40000000000009</v>
          </cell>
        </row>
        <row r="448">
          <cell r="A448" t="str">
            <v xml:space="preserve">   8.  Acute Care</v>
          </cell>
          <cell r="B448">
            <v>0</v>
          </cell>
          <cell r="C448">
            <v>3.2</v>
          </cell>
          <cell r="D448">
            <v>0</v>
          </cell>
          <cell r="E448">
            <v>0</v>
          </cell>
          <cell r="F448">
            <v>0</v>
          </cell>
          <cell r="G448">
            <v>3.2</v>
          </cell>
          <cell r="I448" t="str">
            <v xml:space="preserve">   8.  Acute Care</v>
          </cell>
          <cell r="J448">
            <v>0</v>
          </cell>
          <cell r="K448">
            <v>11</v>
          </cell>
          <cell r="L448">
            <v>0</v>
          </cell>
          <cell r="M448">
            <v>6.0299999999999994</v>
          </cell>
          <cell r="N448">
            <v>0</v>
          </cell>
          <cell r="O448">
            <v>17.03</v>
          </cell>
          <cell r="Q448" t="str">
            <v xml:space="preserve">   8.  Acute Care</v>
          </cell>
          <cell r="R448">
            <v>0</v>
          </cell>
          <cell r="S448">
            <v>7.5299999999999994</v>
          </cell>
          <cell r="T448">
            <v>0</v>
          </cell>
          <cell r="U448">
            <v>0</v>
          </cell>
          <cell r="V448">
            <v>0</v>
          </cell>
          <cell r="W448">
            <v>7.5299999999999994</v>
          </cell>
          <cell r="Y448" t="str">
            <v xml:space="preserve">   8.  Acute Care</v>
          </cell>
          <cell r="Z448">
            <v>0</v>
          </cell>
          <cell r="AA448">
            <v>114.88</v>
          </cell>
          <cell r="AB448">
            <v>0</v>
          </cell>
          <cell r="AC448">
            <v>85.009999999999991</v>
          </cell>
          <cell r="AD448">
            <v>0</v>
          </cell>
          <cell r="AE448">
            <v>199.89</v>
          </cell>
          <cell r="AG448" t="str">
            <v xml:space="preserve">   8.  Acute Care</v>
          </cell>
          <cell r="AH448">
            <v>0</v>
          </cell>
          <cell r="AI448">
            <v>6.9</v>
          </cell>
          <cell r="AJ448">
            <v>0</v>
          </cell>
          <cell r="AK448">
            <v>0</v>
          </cell>
          <cell r="AL448">
            <v>0</v>
          </cell>
          <cell r="AM448">
            <v>6.9</v>
          </cell>
          <cell r="AO448" t="str">
            <v xml:space="preserve">   8.  Acute Care</v>
          </cell>
          <cell r="AP448">
            <v>0</v>
          </cell>
          <cell r="AQ448">
            <v>4.57</v>
          </cell>
          <cell r="AR448">
            <v>0</v>
          </cell>
          <cell r="AS448">
            <v>0</v>
          </cell>
          <cell r="AT448">
            <v>0</v>
          </cell>
          <cell r="AU448">
            <v>4.57</v>
          </cell>
          <cell r="AW448" t="str">
            <v xml:space="preserve">   8.  Acute Care</v>
          </cell>
          <cell r="AX448">
            <v>0</v>
          </cell>
          <cell r="AY448">
            <v>5</v>
          </cell>
          <cell r="AZ448">
            <v>0</v>
          </cell>
          <cell r="BA448">
            <v>5</v>
          </cell>
          <cell r="BB448">
            <v>0</v>
          </cell>
          <cell r="BC448">
            <v>10</v>
          </cell>
        </row>
        <row r="449">
          <cell r="A449" t="str">
            <v xml:space="preserve">   9.  Ventilator</v>
          </cell>
          <cell r="B449">
            <v>0</v>
          </cell>
          <cell r="C449">
            <v>0</v>
          </cell>
          <cell r="D449">
            <v>0</v>
          </cell>
          <cell r="E449">
            <v>0</v>
          </cell>
          <cell r="F449">
            <v>0</v>
          </cell>
          <cell r="G449">
            <v>0</v>
          </cell>
          <cell r="I449" t="str">
            <v xml:space="preserve">   9.  Ventilator</v>
          </cell>
          <cell r="J449">
            <v>0</v>
          </cell>
          <cell r="K449">
            <v>0</v>
          </cell>
          <cell r="L449">
            <v>0</v>
          </cell>
          <cell r="M449">
            <v>3</v>
          </cell>
          <cell r="N449">
            <v>0</v>
          </cell>
          <cell r="O449">
            <v>3</v>
          </cell>
          <cell r="Q449" t="str">
            <v xml:space="preserve">   9.  Ventilator</v>
          </cell>
          <cell r="R449">
            <v>0</v>
          </cell>
          <cell r="S449">
            <v>0</v>
          </cell>
          <cell r="T449">
            <v>0</v>
          </cell>
          <cell r="U449">
            <v>0</v>
          </cell>
          <cell r="V449">
            <v>0</v>
          </cell>
          <cell r="W449">
            <v>0</v>
          </cell>
          <cell r="Y449" t="str">
            <v xml:space="preserve">   9.  Ventilator</v>
          </cell>
          <cell r="Z449">
            <v>0</v>
          </cell>
          <cell r="AA449">
            <v>64.25</v>
          </cell>
          <cell r="AB449">
            <v>0</v>
          </cell>
          <cell r="AC449">
            <v>56.510000000000005</v>
          </cell>
          <cell r="AD449">
            <v>0</v>
          </cell>
          <cell r="AE449">
            <v>120.76</v>
          </cell>
          <cell r="AG449" t="str">
            <v xml:space="preserve">   9.  Ventilator</v>
          </cell>
          <cell r="AH449">
            <v>0</v>
          </cell>
          <cell r="AI449">
            <v>4</v>
          </cell>
          <cell r="AJ449">
            <v>0</v>
          </cell>
          <cell r="AK449">
            <v>0</v>
          </cell>
          <cell r="AL449">
            <v>0</v>
          </cell>
          <cell r="AM449">
            <v>4</v>
          </cell>
          <cell r="AO449" t="str">
            <v xml:space="preserve">   9.  Ventilator</v>
          </cell>
          <cell r="AP449">
            <v>0</v>
          </cell>
          <cell r="AQ449">
            <v>4</v>
          </cell>
          <cell r="AR449">
            <v>0</v>
          </cell>
          <cell r="AS449">
            <v>3</v>
          </cell>
          <cell r="AT449">
            <v>0</v>
          </cell>
          <cell r="AU449">
            <v>7</v>
          </cell>
          <cell r="AW449" t="str">
            <v xml:space="preserve">   9.  Ventilator</v>
          </cell>
          <cell r="AX449">
            <v>0</v>
          </cell>
          <cell r="AY449">
            <v>0</v>
          </cell>
          <cell r="AZ449">
            <v>0</v>
          </cell>
          <cell r="BA449">
            <v>3</v>
          </cell>
          <cell r="BB449">
            <v>0</v>
          </cell>
          <cell r="BC449">
            <v>3</v>
          </cell>
        </row>
        <row r="450">
          <cell r="A450" t="str">
            <v xml:space="preserve">  10.  Prior Period</v>
          </cell>
          <cell r="B450">
            <v>0</v>
          </cell>
          <cell r="C450">
            <v>1.9666999999999999</v>
          </cell>
          <cell r="D450">
            <v>0</v>
          </cell>
          <cell r="E450">
            <v>0</v>
          </cell>
          <cell r="F450">
            <v>0</v>
          </cell>
          <cell r="G450">
            <v>1.9666999999999999</v>
          </cell>
          <cell r="I450" t="str">
            <v xml:space="preserve">  10.  Prior Period</v>
          </cell>
          <cell r="J450">
            <v>0</v>
          </cell>
          <cell r="K450">
            <v>16.677399999999999</v>
          </cell>
          <cell r="L450">
            <v>0</v>
          </cell>
          <cell r="M450">
            <v>4.9333</v>
          </cell>
          <cell r="N450">
            <v>0</v>
          </cell>
          <cell r="O450">
            <v>21.610699999999998</v>
          </cell>
          <cell r="Q450" t="str">
            <v xml:space="preserve">  10.  Prior Period</v>
          </cell>
          <cell r="R450">
            <v>0</v>
          </cell>
          <cell r="S450">
            <v>19.161200000000001</v>
          </cell>
          <cell r="T450">
            <v>0</v>
          </cell>
          <cell r="U450">
            <v>0</v>
          </cell>
          <cell r="V450">
            <v>0</v>
          </cell>
          <cell r="W450">
            <v>19.161200000000001</v>
          </cell>
          <cell r="Y450" t="str">
            <v xml:space="preserve">  10.  Prior Period</v>
          </cell>
          <cell r="Z450">
            <v>0</v>
          </cell>
          <cell r="AA450">
            <v>506.45180000000005</v>
          </cell>
          <cell r="AB450">
            <v>0</v>
          </cell>
          <cell r="AC450">
            <v>36.459099999999999</v>
          </cell>
          <cell r="AD450">
            <v>0</v>
          </cell>
          <cell r="AE450">
            <v>542.91090000000008</v>
          </cell>
          <cell r="AG450" t="str">
            <v xml:space="preserve">  10.  Prior Period</v>
          </cell>
          <cell r="AH450">
            <v>0</v>
          </cell>
          <cell r="AI450">
            <v>80.073099999999997</v>
          </cell>
          <cell r="AJ450">
            <v>0</v>
          </cell>
          <cell r="AK450">
            <v>9.0333000000000006</v>
          </cell>
          <cell r="AL450">
            <v>0</v>
          </cell>
          <cell r="AM450">
            <v>89.106399999999994</v>
          </cell>
          <cell r="AO450" t="str">
            <v xml:space="preserve">  10.  Prior Period</v>
          </cell>
          <cell r="AP450">
            <v>0</v>
          </cell>
          <cell r="AQ450">
            <v>21.099999999999998</v>
          </cell>
          <cell r="AR450">
            <v>0</v>
          </cell>
          <cell r="AS450">
            <v>3.2300000000000002E-2</v>
          </cell>
          <cell r="AT450">
            <v>0</v>
          </cell>
          <cell r="AU450">
            <v>21.132299999999997</v>
          </cell>
          <cell r="AW450" t="str">
            <v xml:space="preserve">  10.  Prior Period</v>
          </cell>
          <cell r="AX450">
            <v>0</v>
          </cell>
          <cell r="AY450">
            <v>39.611800000000002</v>
          </cell>
          <cell r="AZ450">
            <v>0</v>
          </cell>
          <cell r="BA450">
            <v>0</v>
          </cell>
          <cell r="BB450">
            <v>0</v>
          </cell>
          <cell r="BC450">
            <v>39.611800000000002</v>
          </cell>
        </row>
        <row r="451">
          <cell r="A451" t="str">
            <v xml:space="preserve">  11.  Other - Not Placed</v>
          </cell>
          <cell r="B451">
            <v>0</v>
          </cell>
          <cell r="C451">
            <v>-23.29</v>
          </cell>
          <cell r="D451">
            <v>0</v>
          </cell>
          <cell r="E451">
            <v>-7</v>
          </cell>
          <cell r="F451">
            <v>0</v>
          </cell>
          <cell r="G451">
            <v>-30.29</v>
          </cell>
          <cell r="I451" t="str">
            <v xml:space="preserve">  11.  Other - Not Placed</v>
          </cell>
          <cell r="J451">
            <v>0</v>
          </cell>
          <cell r="K451">
            <v>-42.91</v>
          </cell>
          <cell r="L451">
            <v>0</v>
          </cell>
          <cell r="M451">
            <v>-4.43</v>
          </cell>
          <cell r="N451">
            <v>0</v>
          </cell>
          <cell r="O451">
            <v>-47.339999999999996</v>
          </cell>
          <cell r="Q451" t="str">
            <v xml:space="preserve">  11.  Other - Not Placed</v>
          </cell>
          <cell r="R451">
            <v>0</v>
          </cell>
          <cell r="S451">
            <v>-22.83</v>
          </cell>
          <cell r="T451">
            <v>0</v>
          </cell>
          <cell r="U451">
            <v>0</v>
          </cell>
          <cell r="V451">
            <v>0</v>
          </cell>
          <cell r="W451">
            <v>-22.83</v>
          </cell>
          <cell r="Y451" t="str">
            <v xml:space="preserve">  11.  Other - Not Placed</v>
          </cell>
          <cell r="Z451">
            <v>0</v>
          </cell>
          <cell r="AA451">
            <v>-1251.3499999999979</v>
          </cell>
          <cell r="AB451">
            <v>0</v>
          </cell>
          <cell r="AC451">
            <v>-184.51999999999998</v>
          </cell>
          <cell r="AD451">
            <v>0</v>
          </cell>
          <cell r="AE451">
            <v>-1435.8699999999978</v>
          </cell>
          <cell r="AG451" t="str">
            <v xml:space="preserve">  11.  Other - Not Placed</v>
          </cell>
          <cell r="AH451">
            <v>0</v>
          </cell>
          <cell r="AI451">
            <v>-294.55</v>
          </cell>
          <cell r="AJ451">
            <v>0</v>
          </cell>
          <cell r="AK451">
            <v>-14.290000000000001</v>
          </cell>
          <cell r="AL451">
            <v>0</v>
          </cell>
          <cell r="AM451">
            <v>-308.84000000000003</v>
          </cell>
          <cell r="AO451" t="str">
            <v xml:space="preserve">  11.  Other - Not Placed</v>
          </cell>
          <cell r="AP451">
            <v>0</v>
          </cell>
          <cell r="AQ451">
            <v>-31.769999999999996</v>
          </cell>
          <cell r="AR451">
            <v>0</v>
          </cell>
          <cell r="AS451">
            <v>-18.259999999999998</v>
          </cell>
          <cell r="AT451">
            <v>0</v>
          </cell>
          <cell r="AU451">
            <v>-50.029999999999994</v>
          </cell>
          <cell r="AW451" t="str">
            <v xml:space="preserve">  11.  Other - Not Placed</v>
          </cell>
          <cell r="AX451">
            <v>0</v>
          </cell>
          <cell r="AY451">
            <v>-270.71000000000004</v>
          </cell>
          <cell r="AZ451">
            <v>0</v>
          </cell>
          <cell r="BA451">
            <v>-48.54</v>
          </cell>
          <cell r="BB451">
            <v>0</v>
          </cell>
          <cell r="BC451">
            <v>-319.25000000000006</v>
          </cell>
        </row>
        <row r="453">
          <cell r="A453" t="str">
            <v>C.   Acute Patient Day Information</v>
          </cell>
          <cell r="I453" t="str">
            <v>C.   Acute Patient Day Information</v>
          </cell>
          <cell r="Q453" t="str">
            <v>C.   Acute Patient Day Information</v>
          </cell>
          <cell r="Y453" t="str">
            <v>C.   Acute Patient Day Information</v>
          </cell>
          <cell r="AG453" t="str">
            <v>C.   Acute Patient Day Information</v>
          </cell>
          <cell r="AO453" t="str">
            <v>C.   Acute Patient Day Information</v>
          </cell>
          <cell r="AW453" t="str">
            <v>C.   Acute Patient Day Information</v>
          </cell>
        </row>
        <row r="454">
          <cell r="A454" t="str">
            <v xml:space="preserve">       a.  Admissions</v>
          </cell>
          <cell r="B454">
            <v>0</v>
          </cell>
          <cell r="C454">
            <v>16</v>
          </cell>
          <cell r="D454">
            <v>0</v>
          </cell>
          <cell r="E454">
            <v>2</v>
          </cell>
          <cell r="F454">
            <v>0</v>
          </cell>
          <cell r="G454">
            <v>18</v>
          </cell>
          <cell r="I454" t="str">
            <v xml:space="preserve">       a.  Admissions</v>
          </cell>
          <cell r="J454">
            <v>0</v>
          </cell>
          <cell r="K454">
            <v>28</v>
          </cell>
          <cell r="L454">
            <v>0</v>
          </cell>
          <cell r="M454">
            <v>10</v>
          </cell>
          <cell r="N454">
            <v>0</v>
          </cell>
          <cell r="O454">
            <v>38</v>
          </cell>
          <cell r="Q454" t="str">
            <v xml:space="preserve">       a.  Admissions</v>
          </cell>
          <cell r="R454">
            <v>0</v>
          </cell>
          <cell r="S454">
            <v>17</v>
          </cell>
          <cell r="T454">
            <v>0</v>
          </cell>
          <cell r="U454">
            <v>2</v>
          </cell>
          <cell r="V454">
            <v>0</v>
          </cell>
          <cell r="W454">
            <v>19</v>
          </cell>
          <cell r="Y454" t="str">
            <v xml:space="preserve">       a.  Admissions</v>
          </cell>
          <cell r="Z454">
            <v>0</v>
          </cell>
          <cell r="AA454">
            <v>789</v>
          </cell>
          <cell r="AB454">
            <v>0</v>
          </cell>
          <cell r="AC454">
            <v>142</v>
          </cell>
          <cell r="AD454">
            <v>0</v>
          </cell>
          <cell r="AE454">
            <v>931</v>
          </cell>
          <cell r="AG454" t="str">
            <v xml:space="preserve">       a.  Admissions</v>
          </cell>
          <cell r="AH454">
            <v>0</v>
          </cell>
          <cell r="AI454">
            <v>125</v>
          </cell>
          <cell r="AJ454">
            <v>0</v>
          </cell>
          <cell r="AK454">
            <v>34</v>
          </cell>
          <cell r="AL454">
            <v>0</v>
          </cell>
          <cell r="AM454">
            <v>159</v>
          </cell>
          <cell r="AO454" t="str">
            <v xml:space="preserve">       a.  Admissions</v>
          </cell>
          <cell r="AP454">
            <v>0</v>
          </cell>
          <cell r="AQ454">
            <v>34</v>
          </cell>
          <cell r="AR454">
            <v>0</v>
          </cell>
          <cell r="AS454">
            <v>7</v>
          </cell>
          <cell r="AT454">
            <v>0</v>
          </cell>
          <cell r="AU454">
            <v>41</v>
          </cell>
          <cell r="AW454" t="str">
            <v xml:space="preserve">       a.  Admissions</v>
          </cell>
          <cell r="AX454">
            <v>0</v>
          </cell>
          <cell r="AY454">
            <v>112</v>
          </cell>
          <cell r="AZ454">
            <v>0</v>
          </cell>
          <cell r="BA454">
            <v>14</v>
          </cell>
          <cell r="BB454">
            <v>0</v>
          </cell>
          <cell r="BC454">
            <v>126</v>
          </cell>
        </row>
        <row r="455">
          <cell r="A455" t="str">
            <v xml:space="preserve">       b.  Patient Days</v>
          </cell>
          <cell r="B455">
            <v>0</v>
          </cell>
          <cell r="C455">
            <v>76</v>
          </cell>
          <cell r="D455">
            <v>0</v>
          </cell>
          <cell r="E455">
            <v>11</v>
          </cell>
          <cell r="F455">
            <v>0</v>
          </cell>
          <cell r="G455">
            <v>87</v>
          </cell>
          <cell r="I455" t="str">
            <v xml:space="preserve">       b.  Patient Days</v>
          </cell>
          <cell r="J455">
            <v>0</v>
          </cell>
          <cell r="K455">
            <v>170</v>
          </cell>
          <cell r="L455">
            <v>0</v>
          </cell>
          <cell r="M455">
            <v>63</v>
          </cell>
          <cell r="N455">
            <v>0</v>
          </cell>
          <cell r="O455">
            <v>233</v>
          </cell>
          <cell r="Q455" t="str">
            <v xml:space="preserve">       b.  Patient Days</v>
          </cell>
          <cell r="R455">
            <v>0</v>
          </cell>
          <cell r="S455">
            <v>95</v>
          </cell>
          <cell r="T455">
            <v>0</v>
          </cell>
          <cell r="U455">
            <v>6</v>
          </cell>
          <cell r="V455">
            <v>0</v>
          </cell>
          <cell r="W455">
            <v>101</v>
          </cell>
          <cell r="Y455" t="str">
            <v xml:space="preserve">       b.  Patient Days</v>
          </cell>
          <cell r="Z455">
            <v>0</v>
          </cell>
          <cell r="AA455">
            <v>4179</v>
          </cell>
          <cell r="AB455">
            <v>0</v>
          </cell>
          <cell r="AC455">
            <v>826</v>
          </cell>
          <cell r="AD455">
            <v>0</v>
          </cell>
          <cell r="AE455">
            <v>5005</v>
          </cell>
          <cell r="AG455" t="str">
            <v xml:space="preserve">       b.  Patient Days</v>
          </cell>
          <cell r="AH455">
            <v>0</v>
          </cell>
          <cell r="AI455">
            <v>727</v>
          </cell>
          <cell r="AJ455">
            <v>0</v>
          </cell>
          <cell r="AK455">
            <v>221</v>
          </cell>
          <cell r="AL455">
            <v>0</v>
          </cell>
          <cell r="AM455">
            <v>948</v>
          </cell>
          <cell r="AO455" t="str">
            <v xml:space="preserve">       b.  Patient Days</v>
          </cell>
          <cell r="AP455">
            <v>0</v>
          </cell>
          <cell r="AQ455">
            <v>165</v>
          </cell>
          <cell r="AR455">
            <v>0</v>
          </cell>
          <cell r="AS455">
            <v>52</v>
          </cell>
          <cell r="AT455">
            <v>0</v>
          </cell>
          <cell r="AU455">
            <v>217</v>
          </cell>
          <cell r="AW455" t="str">
            <v xml:space="preserve">       b.  Patient Days</v>
          </cell>
          <cell r="AX455">
            <v>0</v>
          </cell>
          <cell r="AY455">
            <v>682</v>
          </cell>
          <cell r="AZ455">
            <v>0</v>
          </cell>
          <cell r="BA455">
            <v>52</v>
          </cell>
          <cell r="BB455">
            <v>0</v>
          </cell>
          <cell r="BC455">
            <v>734</v>
          </cell>
        </row>
        <row r="456">
          <cell r="A456" t="str">
            <v xml:space="preserve">       c.  Discharges</v>
          </cell>
          <cell r="B456">
            <v>0</v>
          </cell>
          <cell r="C456">
            <v>18</v>
          </cell>
          <cell r="D456">
            <v>0</v>
          </cell>
          <cell r="E456">
            <v>2</v>
          </cell>
          <cell r="F456">
            <v>0</v>
          </cell>
          <cell r="G456">
            <v>20</v>
          </cell>
          <cell r="I456" t="str">
            <v xml:space="preserve">       c.  Discharges</v>
          </cell>
          <cell r="J456">
            <v>0</v>
          </cell>
          <cell r="K456">
            <v>26</v>
          </cell>
          <cell r="L456">
            <v>0</v>
          </cell>
          <cell r="M456">
            <v>10</v>
          </cell>
          <cell r="N456">
            <v>0</v>
          </cell>
          <cell r="O456">
            <v>36</v>
          </cell>
          <cell r="Q456" t="str">
            <v xml:space="preserve">       c.  Discharges</v>
          </cell>
          <cell r="R456">
            <v>0</v>
          </cell>
          <cell r="S456">
            <v>13</v>
          </cell>
          <cell r="T456">
            <v>0</v>
          </cell>
          <cell r="U456">
            <v>2</v>
          </cell>
          <cell r="V456">
            <v>0</v>
          </cell>
          <cell r="W456">
            <v>15</v>
          </cell>
          <cell r="Y456" t="str">
            <v xml:space="preserve">       c.  Discharges</v>
          </cell>
          <cell r="Z456">
            <v>0</v>
          </cell>
          <cell r="AA456">
            <v>749</v>
          </cell>
          <cell r="AB456">
            <v>0</v>
          </cell>
          <cell r="AC456">
            <v>136</v>
          </cell>
          <cell r="AD456">
            <v>0</v>
          </cell>
          <cell r="AE456">
            <v>885</v>
          </cell>
          <cell r="AG456" t="str">
            <v xml:space="preserve">       c.  Discharges</v>
          </cell>
          <cell r="AH456">
            <v>0</v>
          </cell>
          <cell r="AI456">
            <v>119</v>
          </cell>
          <cell r="AJ456">
            <v>0</v>
          </cell>
          <cell r="AK456">
            <v>28</v>
          </cell>
          <cell r="AL456">
            <v>0</v>
          </cell>
          <cell r="AM456">
            <v>147</v>
          </cell>
          <cell r="AO456" t="str">
            <v xml:space="preserve">       c.  Discharges</v>
          </cell>
          <cell r="AP456">
            <v>0</v>
          </cell>
          <cell r="AQ456">
            <v>31</v>
          </cell>
          <cell r="AR456">
            <v>0</v>
          </cell>
          <cell r="AS456">
            <v>7</v>
          </cell>
          <cell r="AT456">
            <v>0</v>
          </cell>
          <cell r="AU456">
            <v>38</v>
          </cell>
          <cell r="AW456" t="str">
            <v xml:space="preserve">       c.  Discharges</v>
          </cell>
          <cell r="AX456">
            <v>0</v>
          </cell>
          <cell r="AY456">
            <v>113</v>
          </cell>
          <cell r="AZ456">
            <v>0</v>
          </cell>
          <cell r="BA456">
            <v>13</v>
          </cell>
          <cell r="BB456">
            <v>0</v>
          </cell>
          <cell r="BC456">
            <v>126</v>
          </cell>
        </row>
        <row r="457">
          <cell r="A457" t="str">
            <v xml:space="preserve">       d.  Discharge Days</v>
          </cell>
          <cell r="B457">
            <v>0</v>
          </cell>
          <cell r="C457">
            <v>76</v>
          </cell>
          <cell r="D457">
            <v>0</v>
          </cell>
          <cell r="E457">
            <v>11</v>
          </cell>
          <cell r="F457">
            <v>0</v>
          </cell>
          <cell r="G457">
            <v>87</v>
          </cell>
          <cell r="I457" t="str">
            <v xml:space="preserve">       d.  Discharge Days</v>
          </cell>
          <cell r="J457">
            <v>0</v>
          </cell>
          <cell r="K457">
            <v>131</v>
          </cell>
          <cell r="L457">
            <v>0</v>
          </cell>
          <cell r="M457">
            <v>58</v>
          </cell>
          <cell r="N457">
            <v>0</v>
          </cell>
          <cell r="O457">
            <v>189</v>
          </cell>
          <cell r="Q457" t="str">
            <v xml:space="preserve">       d.  Discharge Days</v>
          </cell>
          <cell r="R457">
            <v>0</v>
          </cell>
          <cell r="S457">
            <v>65</v>
          </cell>
          <cell r="T457">
            <v>0</v>
          </cell>
          <cell r="U457">
            <v>6</v>
          </cell>
          <cell r="V457">
            <v>0</v>
          </cell>
          <cell r="W457">
            <v>71</v>
          </cell>
          <cell r="Y457" t="str">
            <v xml:space="preserve">       d.  Discharge Days</v>
          </cell>
          <cell r="Z457">
            <v>0</v>
          </cell>
          <cell r="AA457">
            <v>3294</v>
          </cell>
          <cell r="AB457">
            <v>0</v>
          </cell>
          <cell r="AC457">
            <v>668</v>
          </cell>
          <cell r="AD457">
            <v>0</v>
          </cell>
          <cell r="AE457">
            <v>3962</v>
          </cell>
          <cell r="AG457" t="str">
            <v xml:space="preserve">       d.  Discharge Days</v>
          </cell>
          <cell r="AH457">
            <v>0</v>
          </cell>
          <cell r="AI457">
            <v>586</v>
          </cell>
          <cell r="AJ457">
            <v>0</v>
          </cell>
          <cell r="AK457">
            <v>142</v>
          </cell>
          <cell r="AL457">
            <v>0</v>
          </cell>
          <cell r="AM457">
            <v>728</v>
          </cell>
          <cell r="AO457" t="str">
            <v xml:space="preserve">       d.  Discharge Days</v>
          </cell>
          <cell r="AP457">
            <v>0</v>
          </cell>
          <cell r="AQ457">
            <v>128</v>
          </cell>
          <cell r="AR457">
            <v>0</v>
          </cell>
          <cell r="AS457">
            <v>33</v>
          </cell>
          <cell r="AT457">
            <v>0</v>
          </cell>
          <cell r="AU457">
            <v>161</v>
          </cell>
          <cell r="AW457" t="str">
            <v xml:space="preserve">       d.  Discharge Days</v>
          </cell>
          <cell r="AX457">
            <v>0</v>
          </cell>
          <cell r="AY457">
            <v>519</v>
          </cell>
          <cell r="AZ457">
            <v>0</v>
          </cell>
          <cell r="BA457">
            <v>48</v>
          </cell>
          <cell r="BB457">
            <v>0</v>
          </cell>
          <cell r="BC457">
            <v>567</v>
          </cell>
        </row>
        <row r="458">
          <cell r="A458" t="str">
            <v xml:space="preserve">       e.  Average Length of Stay</v>
          </cell>
          <cell r="B458">
            <v>0</v>
          </cell>
          <cell r="C458">
            <v>4.2222222222222223</v>
          </cell>
          <cell r="D458">
            <v>0</v>
          </cell>
          <cell r="E458">
            <v>5.5</v>
          </cell>
          <cell r="F458">
            <v>0</v>
          </cell>
          <cell r="G458">
            <v>4.3499999999999996</v>
          </cell>
          <cell r="I458" t="str">
            <v xml:space="preserve">       e.  Average Length of Stay</v>
          </cell>
          <cell r="J458">
            <v>0</v>
          </cell>
          <cell r="K458">
            <v>5.0384615384615383</v>
          </cell>
          <cell r="L458">
            <v>0</v>
          </cell>
          <cell r="M458">
            <v>5.8</v>
          </cell>
          <cell r="N458">
            <v>0</v>
          </cell>
          <cell r="O458">
            <v>5.25</v>
          </cell>
          <cell r="Q458" t="str">
            <v xml:space="preserve">       e.  Average Length of Stay</v>
          </cell>
          <cell r="R458">
            <v>0</v>
          </cell>
          <cell r="S458">
            <v>5</v>
          </cell>
          <cell r="T458">
            <v>0</v>
          </cell>
          <cell r="U458">
            <v>3</v>
          </cell>
          <cell r="V458">
            <v>0</v>
          </cell>
          <cell r="W458">
            <v>4.7333333333333334</v>
          </cell>
          <cell r="Y458" t="str">
            <v xml:space="preserve">       e.  Average Length of Stay</v>
          </cell>
          <cell r="Z458">
            <v>0</v>
          </cell>
          <cell r="AA458">
            <v>4.3978638184245664</v>
          </cell>
          <cell r="AB458">
            <v>0</v>
          </cell>
          <cell r="AC458">
            <v>4.9117647058823533</v>
          </cell>
          <cell r="AD458">
            <v>0</v>
          </cell>
          <cell r="AE458">
            <v>4.4768361581920901</v>
          </cell>
          <cell r="AG458" t="str">
            <v xml:space="preserve">       e.  Average Length of Stay</v>
          </cell>
          <cell r="AH458">
            <v>0</v>
          </cell>
          <cell r="AI458">
            <v>4.9243697478991599</v>
          </cell>
          <cell r="AJ458">
            <v>0</v>
          </cell>
          <cell r="AK458">
            <v>5.0714285714285712</v>
          </cell>
          <cell r="AL458">
            <v>0</v>
          </cell>
          <cell r="AM458">
            <v>4.9523809523809526</v>
          </cell>
          <cell r="AO458" t="str">
            <v xml:space="preserve">       e.  Average Length of Stay</v>
          </cell>
          <cell r="AP458">
            <v>0</v>
          </cell>
          <cell r="AQ458">
            <v>4.129032258064516</v>
          </cell>
          <cell r="AR458">
            <v>0</v>
          </cell>
          <cell r="AS458">
            <v>4.7142857142857144</v>
          </cell>
          <cell r="AT458">
            <v>0</v>
          </cell>
          <cell r="AU458">
            <v>4.2368421052631575</v>
          </cell>
          <cell r="AW458" t="str">
            <v xml:space="preserve">       e.  Average Length of Stay</v>
          </cell>
          <cell r="AX458">
            <v>0</v>
          </cell>
          <cell r="AY458">
            <v>4.5929203539823007</v>
          </cell>
          <cell r="AZ458">
            <v>0</v>
          </cell>
          <cell r="BA458">
            <v>3.6923076923076925</v>
          </cell>
          <cell r="BB458">
            <v>0</v>
          </cell>
          <cell r="BC458">
            <v>4.5</v>
          </cell>
        </row>
        <row r="460">
          <cell r="A460" t="str">
            <v>D.   Emergency Room Visits</v>
          </cell>
          <cell r="B460">
            <v>0</v>
          </cell>
          <cell r="C460">
            <v>8</v>
          </cell>
          <cell r="D460">
            <v>0</v>
          </cell>
          <cell r="E460">
            <v>3</v>
          </cell>
          <cell r="F460">
            <v>0</v>
          </cell>
          <cell r="G460">
            <v>11</v>
          </cell>
          <cell r="I460" t="str">
            <v>D.   Emergency Room Visits</v>
          </cell>
          <cell r="J460">
            <v>0</v>
          </cell>
          <cell r="K460">
            <v>18</v>
          </cell>
          <cell r="L460">
            <v>0</v>
          </cell>
          <cell r="M460">
            <v>10</v>
          </cell>
          <cell r="N460">
            <v>0</v>
          </cell>
          <cell r="O460">
            <v>28</v>
          </cell>
          <cell r="Q460" t="str">
            <v>D.   Emergency Room Visits</v>
          </cell>
          <cell r="R460">
            <v>0</v>
          </cell>
          <cell r="S460">
            <v>9</v>
          </cell>
          <cell r="T460">
            <v>0</v>
          </cell>
          <cell r="U460">
            <v>1</v>
          </cell>
          <cell r="V460">
            <v>0</v>
          </cell>
          <cell r="W460">
            <v>10</v>
          </cell>
          <cell r="Y460" t="str">
            <v>D.   Emergency Room Visits</v>
          </cell>
          <cell r="Z460">
            <v>0</v>
          </cell>
          <cell r="AA460">
            <v>247</v>
          </cell>
          <cell r="AB460">
            <v>0</v>
          </cell>
          <cell r="AC460">
            <v>131</v>
          </cell>
          <cell r="AD460">
            <v>0</v>
          </cell>
          <cell r="AE460">
            <v>378</v>
          </cell>
          <cell r="AG460" t="str">
            <v>D.   Emergency Room Visits</v>
          </cell>
          <cell r="AH460">
            <v>0</v>
          </cell>
          <cell r="AI460">
            <v>102</v>
          </cell>
          <cell r="AJ460">
            <v>0</v>
          </cell>
          <cell r="AK460">
            <v>32</v>
          </cell>
          <cell r="AL460">
            <v>0</v>
          </cell>
          <cell r="AM460">
            <v>134</v>
          </cell>
          <cell r="AO460" t="str">
            <v>D.   Emergency Room Visits</v>
          </cell>
          <cell r="AP460">
            <v>0</v>
          </cell>
          <cell r="AQ460">
            <v>27</v>
          </cell>
          <cell r="AR460">
            <v>0</v>
          </cell>
          <cell r="AS460">
            <v>12</v>
          </cell>
          <cell r="AT460">
            <v>0</v>
          </cell>
          <cell r="AU460">
            <v>39</v>
          </cell>
          <cell r="AW460" t="str">
            <v>D.   Emergency Room Visits</v>
          </cell>
          <cell r="AX460">
            <v>0</v>
          </cell>
          <cell r="AY460">
            <v>43</v>
          </cell>
          <cell r="AZ460">
            <v>0</v>
          </cell>
          <cell r="BA460">
            <v>10</v>
          </cell>
          <cell r="BB460">
            <v>0</v>
          </cell>
          <cell r="BC460">
            <v>53</v>
          </cell>
        </row>
        <row r="464">
          <cell r="A464" t="str">
            <v>Program Contractor Financial Reporting Systems - Report #11A Utilization Data Report by County</v>
          </cell>
          <cell r="I464" t="str">
            <v>Program Contractor Financial Reporting Systems - Report #11A Utilization Data Report by County</v>
          </cell>
          <cell r="Q464" t="str">
            <v>Program Contractor Financial Reporting Systems - Report #11A Utilization Data Report by County</v>
          </cell>
          <cell r="Y464" t="str">
            <v>Program Contractor Financial Reporting Systems - Report #11A Utilization Data Report by County</v>
          </cell>
          <cell r="AG464" t="str">
            <v>Program Contractor Financial Reporting Systems - Report #11A Utilization Data Report by County</v>
          </cell>
          <cell r="AO464" t="str">
            <v>Program Contractor Financial Reporting Systems - Report #11A Utilization Data Report by County</v>
          </cell>
          <cell r="AW464" t="str">
            <v>Program Contractor Financial Reporting Systems - Report #11A Utilization Data Report by County</v>
          </cell>
        </row>
        <row r="466">
          <cell r="A466" t="str">
            <v>Statement for Program Contractor 110049 - Evercare of Arizona, Inc.</v>
          </cell>
          <cell r="F466" t="str">
            <v>County:</v>
          </cell>
          <cell r="G466" t="str">
            <v>Apache</v>
          </cell>
          <cell r="I466" t="str">
            <v>Statement for Program Contractor 110049 - Evercare of Arizona, Inc.</v>
          </cell>
          <cell r="N466" t="str">
            <v>County:</v>
          </cell>
          <cell r="O466" t="str">
            <v>Coconino</v>
          </cell>
          <cell r="Q466" t="str">
            <v>Statement for Program Contractor 110049 - Evercare of Arizona, Inc.</v>
          </cell>
          <cell r="V466" t="str">
            <v>County:</v>
          </cell>
          <cell r="W466" t="str">
            <v>La Paz</v>
          </cell>
          <cell r="Y466" t="str">
            <v>Statement for Program Contractor 110049 - Evercare of Arizona, Inc.</v>
          </cell>
          <cell r="AD466" t="str">
            <v>County:</v>
          </cell>
          <cell r="AE466" t="str">
            <v>Maricopa</v>
          </cell>
          <cell r="AG466" t="str">
            <v>Statement for Program Contractor 110049 - Evercare of Arizona, Inc.</v>
          </cell>
          <cell r="AL466" t="str">
            <v>County:</v>
          </cell>
          <cell r="AM466" t="str">
            <v>Mohave</v>
          </cell>
          <cell r="AO466" t="str">
            <v>Statement for Program Contractor 110049 - Evercare of Arizona, Inc.</v>
          </cell>
          <cell r="AT466" t="str">
            <v>County:</v>
          </cell>
          <cell r="AU466" t="str">
            <v>Navajo</v>
          </cell>
          <cell r="AW466" t="str">
            <v>Statement for Program Contractor 110049 - Evercare of Arizona, Inc.</v>
          </cell>
          <cell r="BB466" t="str">
            <v>County:</v>
          </cell>
          <cell r="BC466" t="str">
            <v>Yuma</v>
          </cell>
        </row>
        <row r="468">
          <cell r="A468" t="str">
            <v>For the Month ending 8/31/2006 in the Fiscal Year ending 9/30/2006</v>
          </cell>
          <cell r="F468" t="str">
            <v>Page 2 of 21</v>
          </cell>
          <cell r="I468" t="str">
            <v>For the Month ending 8/31/2006 in the Fiscal Year ending 9/30/2006</v>
          </cell>
          <cell r="N468" t="str">
            <v>Page 5 of 21</v>
          </cell>
          <cell r="Q468" t="str">
            <v>For the Month ending 8/31/2006 in the Fiscal Year ending 9/30/2006</v>
          </cell>
          <cell r="V468" t="str">
            <v>Page 8 of 21</v>
          </cell>
          <cell r="Y468" t="str">
            <v>For the Month ending 8/31/2006 in the Fiscal Year ending 9/30/2006</v>
          </cell>
          <cell r="AD468" t="str">
            <v>Page 11 of 21</v>
          </cell>
          <cell r="AG468" t="str">
            <v>For the Month ending 8/31/2006 in the Fiscal Year ending 9/30/2006</v>
          </cell>
          <cell r="AL468" t="str">
            <v>Page 14 of 21</v>
          </cell>
          <cell r="AO468" t="str">
            <v>For the Month ending 8/31/2006 in the Fiscal Year ending 9/30/2006</v>
          </cell>
          <cell r="AT468" t="str">
            <v>Page 17 of 21</v>
          </cell>
          <cell r="AW468" t="str">
            <v>For the Month ending 8/31/2006 in the Fiscal Year ending 9/30/2006</v>
          </cell>
          <cell r="BB468" t="str">
            <v>Page 20 of 21</v>
          </cell>
        </row>
        <row r="471">
          <cell r="A471" t="str">
            <v>Utilization Data Report by County</v>
          </cell>
          <cell r="I471" t="str">
            <v>Utilization Data Report by County</v>
          </cell>
          <cell r="Q471" t="str">
            <v>Utilization Data Report by County</v>
          </cell>
          <cell r="Y471" t="str">
            <v>Utilization Data Report by County</v>
          </cell>
          <cell r="AG471" t="str">
            <v>Utilization Data Report by County</v>
          </cell>
          <cell r="AO471" t="str">
            <v>Utilization Data Report by County</v>
          </cell>
          <cell r="AW471" t="str">
            <v>Utilization Data Report by County</v>
          </cell>
        </row>
        <row r="473">
          <cell r="B473" t="str">
            <v>MEDICARE</v>
          </cell>
          <cell r="D473" t="str">
            <v>NON-MEDICARE</v>
          </cell>
          <cell r="F473" t="str">
            <v>TOTAL</v>
          </cell>
          <cell r="J473" t="str">
            <v>MEDICARE</v>
          </cell>
          <cell r="L473" t="str">
            <v>NON-MEDICARE</v>
          </cell>
          <cell r="N473" t="str">
            <v>TOTAL</v>
          </cell>
          <cell r="R473" t="str">
            <v>MEDICARE</v>
          </cell>
          <cell r="T473" t="str">
            <v>NON-MEDICARE</v>
          </cell>
          <cell r="V473" t="str">
            <v>TOTAL</v>
          </cell>
          <cell r="Z473" t="str">
            <v>MEDICARE</v>
          </cell>
          <cell r="AB473" t="str">
            <v>NON-MEDICARE</v>
          </cell>
          <cell r="AD473" t="str">
            <v>TOTAL</v>
          </cell>
          <cell r="AH473" t="str">
            <v>MEDICARE</v>
          </cell>
          <cell r="AJ473" t="str">
            <v>NON-MEDICARE</v>
          </cell>
          <cell r="AL473" t="str">
            <v>TOTAL</v>
          </cell>
          <cell r="AP473" t="str">
            <v>MEDICARE</v>
          </cell>
          <cell r="AR473" t="str">
            <v>NON-MEDICARE</v>
          </cell>
          <cell r="AT473" t="str">
            <v>TOTAL</v>
          </cell>
          <cell r="AX473" t="str">
            <v>MEDICARE</v>
          </cell>
          <cell r="AZ473" t="str">
            <v>NON-MEDICARE</v>
          </cell>
          <cell r="BB473" t="str">
            <v>TOTAL</v>
          </cell>
        </row>
        <row r="474">
          <cell r="A474" t="str">
            <v>ITEM DESCRIPTION</v>
          </cell>
          <cell r="B474" t="str">
            <v>Current</v>
          </cell>
          <cell r="D474" t="str">
            <v>Current</v>
          </cell>
          <cell r="F474" t="str">
            <v>Current</v>
          </cell>
          <cell r="I474" t="str">
            <v>ITEM DESCRIPTION</v>
          </cell>
          <cell r="J474" t="str">
            <v>Current</v>
          </cell>
          <cell r="L474" t="str">
            <v>Current</v>
          </cell>
          <cell r="N474" t="str">
            <v>Current</v>
          </cell>
          <cell r="Q474" t="str">
            <v>ITEM DESCRIPTION</v>
          </cell>
          <cell r="R474" t="str">
            <v>Current</v>
          </cell>
          <cell r="T474" t="str">
            <v>Current</v>
          </cell>
          <cell r="V474" t="str">
            <v>Current</v>
          </cell>
          <cell r="Y474" t="str">
            <v>ITEM DESCRIPTION</v>
          </cell>
          <cell r="Z474" t="str">
            <v>Current</v>
          </cell>
          <cell r="AB474" t="str">
            <v>Current</v>
          </cell>
          <cell r="AD474" t="str">
            <v>Current</v>
          </cell>
          <cell r="AG474" t="str">
            <v>ITEM DESCRIPTION</v>
          </cell>
          <cell r="AH474" t="str">
            <v>Current</v>
          </cell>
          <cell r="AJ474" t="str">
            <v>Current</v>
          </cell>
          <cell r="AL474" t="str">
            <v>Current</v>
          </cell>
          <cell r="AO474" t="str">
            <v>ITEM DESCRIPTION</v>
          </cell>
          <cell r="AP474" t="str">
            <v>Current</v>
          </cell>
          <cell r="AR474" t="str">
            <v>Current</v>
          </cell>
          <cell r="AT474" t="str">
            <v>Current</v>
          </cell>
          <cell r="AW474" t="str">
            <v>ITEM DESCRIPTION</v>
          </cell>
          <cell r="AX474" t="str">
            <v>Current</v>
          </cell>
          <cell r="AZ474" t="str">
            <v>Current</v>
          </cell>
          <cell r="BB474" t="str">
            <v>Current</v>
          </cell>
        </row>
        <row r="475">
          <cell r="B475" t="str">
            <v>Period</v>
          </cell>
          <cell r="C475" t="str">
            <v>YTD</v>
          </cell>
          <cell r="D475" t="str">
            <v>Period</v>
          </cell>
          <cell r="E475" t="str">
            <v>YTD</v>
          </cell>
          <cell r="F475" t="str">
            <v>Period</v>
          </cell>
          <cell r="G475" t="str">
            <v>YTD</v>
          </cell>
          <cell r="J475" t="str">
            <v>Period</v>
          </cell>
          <cell r="K475" t="str">
            <v>YTD</v>
          </cell>
          <cell r="L475" t="str">
            <v>Period</v>
          </cell>
          <cell r="M475" t="str">
            <v>YTD</v>
          </cell>
          <cell r="N475" t="str">
            <v>Period</v>
          </cell>
          <cell r="O475" t="str">
            <v>YTD</v>
          </cell>
          <cell r="R475" t="str">
            <v>Period</v>
          </cell>
          <cell r="S475" t="str">
            <v>YTD</v>
          </cell>
          <cell r="T475" t="str">
            <v>Period</v>
          </cell>
          <cell r="U475" t="str">
            <v>YTD</v>
          </cell>
          <cell r="V475" t="str">
            <v>Period</v>
          </cell>
          <cell r="W475" t="str">
            <v>YTD</v>
          </cell>
          <cell r="Z475" t="str">
            <v>Period</v>
          </cell>
          <cell r="AA475" t="str">
            <v>YTD</v>
          </cell>
          <cell r="AB475" t="str">
            <v>Period</v>
          </cell>
          <cell r="AC475" t="str">
            <v>YTD</v>
          </cell>
          <cell r="AD475" t="str">
            <v>Period</v>
          </cell>
          <cell r="AE475" t="str">
            <v>YTD</v>
          </cell>
          <cell r="AH475" t="str">
            <v>Period</v>
          </cell>
          <cell r="AI475" t="str">
            <v>YTD</v>
          </cell>
          <cell r="AJ475" t="str">
            <v>Period</v>
          </cell>
          <cell r="AK475" t="str">
            <v>YTD</v>
          </cell>
          <cell r="AL475" t="str">
            <v>Period</v>
          </cell>
          <cell r="AM475" t="str">
            <v>YTD</v>
          </cell>
          <cell r="AP475" t="str">
            <v>Period</v>
          </cell>
          <cell r="AQ475" t="str">
            <v>YTD</v>
          </cell>
          <cell r="AR475" t="str">
            <v>Period</v>
          </cell>
          <cell r="AS475" t="str">
            <v>YTD</v>
          </cell>
          <cell r="AT475" t="str">
            <v>Period</v>
          </cell>
          <cell r="AU475" t="str">
            <v>YTD</v>
          </cell>
          <cell r="AX475" t="str">
            <v>Period</v>
          </cell>
          <cell r="AY475" t="str">
            <v>YTD</v>
          </cell>
          <cell r="AZ475" t="str">
            <v>Period</v>
          </cell>
          <cell r="BA475" t="str">
            <v>YTD</v>
          </cell>
          <cell r="BB475" t="str">
            <v>Period</v>
          </cell>
          <cell r="BC475" t="str">
            <v>YTD</v>
          </cell>
        </row>
        <row r="476">
          <cell r="A476" t="str">
            <v>A.   Enrollees (At End of Period)</v>
          </cell>
          <cell r="B476">
            <v>0</v>
          </cell>
          <cell r="D476">
            <v>0</v>
          </cell>
          <cell r="F476">
            <v>0</v>
          </cell>
          <cell r="I476" t="str">
            <v>A.   Enrollees (At End of Period)</v>
          </cell>
          <cell r="J476">
            <v>0</v>
          </cell>
          <cell r="L476">
            <v>0</v>
          </cell>
          <cell r="N476">
            <v>0</v>
          </cell>
          <cell r="Q476" t="str">
            <v>A.   Enrollees (At End of Period)</v>
          </cell>
          <cell r="R476">
            <v>0</v>
          </cell>
          <cell r="T476">
            <v>0</v>
          </cell>
          <cell r="V476">
            <v>0</v>
          </cell>
          <cell r="Y476" t="str">
            <v>A.   Enrollees (At End of Period)</v>
          </cell>
          <cell r="Z476">
            <v>0</v>
          </cell>
          <cell r="AB476">
            <v>0</v>
          </cell>
          <cell r="AD476">
            <v>0</v>
          </cell>
          <cell r="AG476" t="str">
            <v>A.   Enrollees (At End of Period)</v>
          </cell>
          <cell r="AH476">
            <v>0</v>
          </cell>
          <cell r="AJ476">
            <v>0</v>
          </cell>
          <cell r="AL476">
            <v>0</v>
          </cell>
          <cell r="AO476" t="str">
            <v>A.   Enrollees (At End of Period)</v>
          </cell>
          <cell r="AP476">
            <v>0</v>
          </cell>
          <cell r="AR476">
            <v>0</v>
          </cell>
          <cell r="AT476">
            <v>0</v>
          </cell>
          <cell r="AW476" t="str">
            <v>A.   Enrollees (At End of Period)</v>
          </cell>
          <cell r="AX476">
            <v>0</v>
          </cell>
          <cell r="AZ476">
            <v>0</v>
          </cell>
          <cell r="BB476">
            <v>0</v>
          </cell>
        </row>
        <row r="478">
          <cell r="A478" t="str">
            <v>B.   Member Months (Unduplicated)</v>
          </cell>
          <cell r="B478">
            <v>0</v>
          </cell>
          <cell r="C478">
            <v>190.88669999999996</v>
          </cell>
          <cell r="D478">
            <v>0</v>
          </cell>
          <cell r="E478">
            <v>54.75</v>
          </cell>
          <cell r="F478">
            <v>0</v>
          </cell>
          <cell r="G478">
            <v>245.63669999999996</v>
          </cell>
          <cell r="I478" t="str">
            <v>B.   Member Months (Unduplicated)</v>
          </cell>
          <cell r="J478">
            <v>0</v>
          </cell>
          <cell r="K478">
            <v>513.7274000000001</v>
          </cell>
          <cell r="L478">
            <v>0</v>
          </cell>
          <cell r="M478">
            <v>110.61330000000001</v>
          </cell>
          <cell r="N478">
            <v>0</v>
          </cell>
          <cell r="O478">
            <v>624.34070000000008</v>
          </cell>
          <cell r="Q478" t="str">
            <v>B.   Member Months (Unduplicated)</v>
          </cell>
          <cell r="R478">
            <v>0</v>
          </cell>
          <cell r="S478">
            <v>222.08120000000002</v>
          </cell>
          <cell r="T478">
            <v>0</v>
          </cell>
          <cell r="U478">
            <v>17.07</v>
          </cell>
          <cell r="V478">
            <v>0</v>
          </cell>
          <cell r="W478">
            <v>239.15120000000002</v>
          </cell>
          <cell r="Y478" t="str">
            <v>B.   Member Months (Unduplicated)</v>
          </cell>
          <cell r="Z478">
            <v>0</v>
          </cell>
          <cell r="AA478">
            <v>13367.081800000002</v>
          </cell>
          <cell r="AB478">
            <v>0</v>
          </cell>
          <cell r="AC478">
            <v>1964.4491000000003</v>
          </cell>
          <cell r="AD478">
            <v>0</v>
          </cell>
          <cell r="AE478">
            <v>15331.530900000002</v>
          </cell>
          <cell r="AG478" t="str">
            <v>B.   Member Months (Unduplicated)</v>
          </cell>
          <cell r="AH478">
            <v>0</v>
          </cell>
          <cell r="AI478">
            <v>2465.0030999999999</v>
          </cell>
          <cell r="AJ478">
            <v>0</v>
          </cell>
          <cell r="AK478">
            <v>338.37329999999997</v>
          </cell>
          <cell r="AL478">
            <v>0</v>
          </cell>
          <cell r="AM478">
            <v>2803.3764000000001</v>
          </cell>
          <cell r="AO478" t="str">
            <v>B.   Member Months (Unduplicated)</v>
          </cell>
          <cell r="AP478">
            <v>0</v>
          </cell>
          <cell r="AQ478">
            <v>588.85000000000014</v>
          </cell>
          <cell r="AR478">
            <v>0</v>
          </cell>
          <cell r="AS478">
            <v>145.74229999999997</v>
          </cell>
          <cell r="AT478">
            <v>0</v>
          </cell>
          <cell r="AU478">
            <v>734.59230000000014</v>
          </cell>
          <cell r="AW478" t="str">
            <v>B.   Member Months (Unduplicated)</v>
          </cell>
          <cell r="AX478">
            <v>0</v>
          </cell>
          <cell r="AY478">
            <v>1674.2218</v>
          </cell>
          <cell r="AZ478">
            <v>0</v>
          </cell>
          <cell r="BA478">
            <v>331.96999999999997</v>
          </cell>
          <cell r="BB478">
            <v>0</v>
          </cell>
          <cell r="BC478">
            <v>2006.1918000000001</v>
          </cell>
        </row>
        <row r="479">
          <cell r="A479" t="str">
            <v xml:space="preserve">   Institutional Member Months Total</v>
          </cell>
          <cell r="B479">
            <v>0</v>
          </cell>
          <cell r="C479">
            <v>15.7</v>
          </cell>
          <cell r="D479">
            <v>0</v>
          </cell>
          <cell r="E479">
            <v>11.14</v>
          </cell>
          <cell r="F479">
            <v>0</v>
          </cell>
          <cell r="G479">
            <v>26.84</v>
          </cell>
          <cell r="I479" t="str">
            <v xml:space="preserve">   Institutional Member Months Total</v>
          </cell>
          <cell r="J479">
            <v>0</v>
          </cell>
          <cell r="K479">
            <v>190.48</v>
          </cell>
          <cell r="L479">
            <v>0</v>
          </cell>
          <cell r="M479">
            <v>12.73</v>
          </cell>
          <cell r="N479">
            <v>0</v>
          </cell>
          <cell r="O479">
            <v>203.20999999999998</v>
          </cell>
          <cell r="Q479" t="str">
            <v xml:space="preserve">   Institutional Member Months Total</v>
          </cell>
          <cell r="R479">
            <v>0</v>
          </cell>
          <cell r="S479">
            <v>122.66999999999999</v>
          </cell>
          <cell r="T479">
            <v>0</v>
          </cell>
          <cell r="U479">
            <v>3</v>
          </cell>
          <cell r="V479">
            <v>0</v>
          </cell>
          <cell r="W479">
            <v>125.66999999999999</v>
          </cell>
          <cell r="Y479" t="str">
            <v xml:space="preserve">   Institutional Member Months Total</v>
          </cell>
          <cell r="Z479">
            <v>0</v>
          </cell>
          <cell r="AA479">
            <v>5378.2800000000007</v>
          </cell>
          <cell r="AB479">
            <v>0</v>
          </cell>
          <cell r="AC479">
            <v>460.42000000000007</v>
          </cell>
          <cell r="AD479">
            <v>0</v>
          </cell>
          <cell r="AE479">
            <v>5838.7000000000007</v>
          </cell>
          <cell r="AG479" t="str">
            <v xml:space="preserve">   Institutional Member Months Total</v>
          </cell>
          <cell r="AH479">
            <v>0</v>
          </cell>
          <cell r="AI479">
            <v>1342.8</v>
          </cell>
          <cell r="AJ479">
            <v>0</v>
          </cell>
          <cell r="AK479">
            <v>92.289999999999992</v>
          </cell>
          <cell r="AL479">
            <v>0</v>
          </cell>
          <cell r="AM479">
            <v>1435.09</v>
          </cell>
          <cell r="AO479" t="str">
            <v xml:space="preserve">   Institutional Member Months Total</v>
          </cell>
          <cell r="AP479">
            <v>0</v>
          </cell>
          <cell r="AQ479">
            <v>111.26</v>
          </cell>
          <cell r="AR479">
            <v>0</v>
          </cell>
          <cell r="AS479">
            <v>25.259999999999998</v>
          </cell>
          <cell r="AT479">
            <v>0</v>
          </cell>
          <cell r="AU479">
            <v>136.52000000000001</v>
          </cell>
          <cell r="AW479" t="str">
            <v xml:space="preserve">   Institutional Member Months Total</v>
          </cell>
          <cell r="AX479">
            <v>0</v>
          </cell>
          <cell r="AY479">
            <v>878.52</v>
          </cell>
          <cell r="AZ479">
            <v>0</v>
          </cell>
          <cell r="BA479">
            <v>113.56</v>
          </cell>
          <cell r="BB479">
            <v>0</v>
          </cell>
          <cell r="BC479">
            <v>992.07999999999993</v>
          </cell>
        </row>
        <row r="480">
          <cell r="A480" t="str">
            <v xml:space="preserve">   1.  Level I</v>
          </cell>
          <cell r="B480">
            <v>0</v>
          </cell>
          <cell r="C480">
            <v>6.81</v>
          </cell>
          <cell r="D480">
            <v>0</v>
          </cell>
          <cell r="E480">
            <v>8.14</v>
          </cell>
          <cell r="F480">
            <v>0</v>
          </cell>
          <cell r="G480">
            <v>14.95</v>
          </cell>
          <cell r="I480" t="str">
            <v xml:space="preserve">   1.  Level I</v>
          </cell>
          <cell r="J480">
            <v>0</v>
          </cell>
          <cell r="K480">
            <v>86.49</v>
          </cell>
          <cell r="L480">
            <v>0</v>
          </cell>
          <cell r="M480">
            <v>8.23</v>
          </cell>
          <cell r="N480">
            <v>0</v>
          </cell>
          <cell r="O480">
            <v>94.72</v>
          </cell>
          <cell r="Q480" t="str">
            <v xml:space="preserve">   1.  Level I</v>
          </cell>
          <cell r="R480">
            <v>0</v>
          </cell>
          <cell r="S480">
            <v>78.349999999999994</v>
          </cell>
          <cell r="T480">
            <v>0</v>
          </cell>
          <cell r="U480">
            <v>0</v>
          </cell>
          <cell r="V480">
            <v>0</v>
          </cell>
          <cell r="W480">
            <v>78.349999999999994</v>
          </cell>
          <cell r="Y480" t="str">
            <v xml:space="preserve">   1.  Level I</v>
          </cell>
          <cell r="Z480">
            <v>0</v>
          </cell>
          <cell r="AA480">
            <v>3650.05</v>
          </cell>
          <cell r="AB480">
            <v>0</v>
          </cell>
          <cell r="AC480">
            <v>288.17</v>
          </cell>
          <cell r="AD480">
            <v>0</v>
          </cell>
          <cell r="AE480">
            <v>3938.2200000000003</v>
          </cell>
          <cell r="AG480" t="str">
            <v xml:space="preserve">   1.  Level I</v>
          </cell>
          <cell r="AH480">
            <v>0</v>
          </cell>
          <cell r="AI480">
            <v>607.04999999999995</v>
          </cell>
          <cell r="AJ480">
            <v>0</v>
          </cell>
          <cell r="AK480">
            <v>46.1</v>
          </cell>
          <cell r="AL480">
            <v>0</v>
          </cell>
          <cell r="AM480">
            <v>653.15</v>
          </cell>
          <cell r="AO480" t="str">
            <v xml:space="preserve">   1.  Level I</v>
          </cell>
          <cell r="AP480">
            <v>0</v>
          </cell>
          <cell r="AQ480">
            <v>64.41</v>
          </cell>
          <cell r="AR480">
            <v>0</v>
          </cell>
          <cell r="AS480">
            <v>22.259999999999998</v>
          </cell>
          <cell r="AT480">
            <v>0</v>
          </cell>
          <cell r="AU480">
            <v>86.669999999999987</v>
          </cell>
          <cell r="AW480" t="str">
            <v xml:space="preserve">   1.  Level I</v>
          </cell>
          <cell r="AX480">
            <v>0</v>
          </cell>
          <cell r="AY480">
            <v>471.98</v>
          </cell>
          <cell r="AZ480">
            <v>0</v>
          </cell>
          <cell r="BA480">
            <v>69.94</v>
          </cell>
          <cell r="BB480">
            <v>0</v>
          </cell>
          <cell r="BC480">
            <v>541.92000000000007</v>
          </cell>
        </row>
        <row r="481">
          <cell r="A481" t="str">
            <v xml:space="preserve">   2.  Level II</v>
          </cell>
          <cell r="B481">
            <v>0</v>
          </cell>
          <cell r="C481">
            <v>6.73</v>
          </cell>
          <cell r="D481">
            <v>0</v>
          </cell>
          <cell r="E481">
            <v>3</v>
          </cell>
          <cell r="F481">
            <v>0</v>
          </cell>
          <cell r="G481">
            <v>9.73</v>
          </cell>
          <cell r="I481" t="str">
            <v xml:space="preserve">   2.  Level II</v>
          </cell>
          <cell r="J481">
            <v>0</v>
          </cell>
          <cell r="K481">
            <v>87.8</v>
          </cell>
          <cell r="L481">
            <v>0</v>
          </cell>
          <cell r="M481">
            <v>3</v>
          </cell>
          <cell r="N481">
            <v>0</v>
          </cell>
          <cell r="O481">
            <v>90.8</v>
          </cell>
          <cell r="Q481" t="str">
            <v xml:space="preserve">   2.  Level II</v>
          </cell>
          <cell r="R481">
            <v>0</v>
          </cell>
          <cell r="S481">
            <v>37.57</v>
          </cell>
          <cell r="T481">
            <v>0</v>
          </cell>
          <cell r="U481">
            <v>3</v>
          </cell>
          <cell r="V481">
            <v>0</v>
          </cell>
          <cell r="W481">
            <v>40.57</v>
          </cell>
          <cell r="Y481" t="str">
            <v xml:space="preserve">   2.  Level II</v>
          </cell>
          <cell r="Z481">
            <v>0</v>
          </cell>
          <cell r="AA481">
            <v>1526.49</v>
          </cell>
          <cell r="AB481">
            <v>0</v>
          </cell>
          <cell r="AC481">
            <v>127.19</v>
          </cell>
          <cell r="AD481">
            <v>0</v>
          </cell>
          <cell r="AE481">
            <v>1653.68</v>
          </cell>
          <cell r="AG481" t="str">
            <v xml:space="preserve">   2.  Level II</v>
          </cell>
          <cell r="AH481">
            <v>0</v>
          </cell>
          <cell r="AI481">
            <v>602.55999999999995</v>
          </cell>
          <cell r="AJ481">
            <v>0</v>
          </cell>
          <cell r="AK481">
            <v>28.279999999999998</v>
          </cell>
          <cell r="AL481">
            <v>0</v>
          </cell>
          <cell r="AM481">
            <v>630.83999999999992</v>
          </cell>
          <cell r="AO481" t="str">
            <v xml:space="preserve">   2.  Level II</v>
          </cell>
          <cell r="AP481">
            <v>0</v>
          </cell>
          <cell r="AQ481">
            <v>39.450000000000003</v>
          </cell>
          <cell r="AR481">
            <v>0</v>
          </cell>
          <cell r="AS481">
            <v>3</v>
          </cell>
          <cell r="AT481">
            <v>0</v>
          </cell>
          <cell r="AU481">
            <v>42.45</v>
          </cell>
          <cell r="AW481" t="str">
            <v xml:space="preserve">   2.  Level II</v>
          </cell>
          <cell r="AX481">
            <v>0</v>
          </cell>
          <cell r="AY481">
            <v>357.26</v>
          </cell>
          <cell r="AZ481">
            <v>0</v>
          </cell>
          <cell r="BA481">
            <v>27.619999999999997</v>
          </cell>
          <cell r="BB481">
            <v>0</v>
          </cell>
          <cell r="BC481">
            <v>384.88</v>
          </cell>
        </row>
        <row r="482">
          <cell r="A482" t="str">
            <v xml:space="preserve">   3.  Level III</v>
          </cell>
          <cell r="B482">
            <v>0</v>
          </cell>
          <cell r="C482">
            <v>2.16</v>
          </cell>
          <cell r="D482">
            <v>0</v>
          </cell>
          <cell r="E482">
            <v>0</v>
          </cell>
          <cell r="F482">
            <v>0</v>
          </cell>
          <cell r="G482">
            <v>2.16</v>
          </cell>
          <cell r="I482" t="str">
            <v xml:space="preserve">   3.  Level III</v>
          </cell>
          <cell r="J482">
            <v>0</v>
          </cell>
          <cell r="K482">
            <v>16.190000000000001</v>
          </cell>
          <cell r="L482">
            <v>0</v>
          </cell>
          <cell r="M482">
            <v>1.5</v>
          </cell>
          <cell r="N482">
            <v>0</v>
          </cell>
          <cell r="O482">
            <v>17.690000000000001</v>
          </cell>
          <cell r="Q482" t="str">
            <v xml:space="preserve">   3.  Level III</v>
          </cell>
          <cell r="R482">
            <v>0</v>
          </cell>
          <cell r="S482">
            <v>6.75</v>
          </cell>
          <cell r="T482">
            <v>0</v>
          </cell>
          <cell r="U482">
            <v>0</v>
          </cell>
          <cell r="V482">
            <v>0</v>
          </cell>
          <cell r="W482">
            <v>6.75</v>
          </cell>
          <cell r="Y482" t="str">
            <v xml:space="preserve">   3.  Level III</v>
          </cell>
          <cell r="Z482">
            <v>0</v>
          </cell>
          <cell r="AA482">
            <v>200.77</v>
          </cell>
          <cell r="AB482">
            <v>0</v>
          </cell>
          <cell r="AC482">
            <v>31.090000000000003</v>
          </cell>
          <cell r="AD482">
            <v>0</v>
          </cell>
          <cell r="AE482">
            <v>231.86</v>
          </cell>
          <cell r="AG482" t="str">
            <v xml:space="preserve">   3.  Level III</v>
          </cell>
          <cell r="AH482">
            <v>0</v>
          </cell>
          <cell r="AI482">
            <v>133.19</v>
          </cell>
          <cell r="AJ482">
            <v>0</v>
          </cell>
          <cell r="AK482">
            <v>17.91</v>
          </cell>
          <cell r="AL482">
            <v>0</v>
          </cell>
          <cell r="AM482">
            <v>151.1</v>
          </cell>
          <cell r="AO482" t="str">
            <v xml:space="preserve">   3.  Level III</v>
          </cell>
          <cell r="AP482">
            <v>0</v>
          </cell>
          <cell r="AQ482">
            <v>0.4</v>
          </cell>
          <cell r="AR482">
            <v>0</v>
          </cell>
          <cell r="AS482">
            <v>0</v>
          </cell>
          <cell r="AT482">
            <v>0</v>
          </cell>
          <cell r="AU482">
            <v>0.4</v>
          </cell>
          <cell r="AW482" t="str">
            <v xml:space="preserve">   3.  Level III</v>
          </cell>
          <cell r="AX482">
            <v>0</v>
          </cell>
          <cell r="AY482">
            <v>49.28</v>
          </cell>
          <cell r="AZ482">
            <v>0</v>
          </cell>
          <cell r="BA482">
            <v>16</v>
          </cell>
          <cell r="BB482">
            <v>0</v>
          </cell>
          <cell r="BC482">
            <v>65.28</v>
          </cell>
        </row>
        <row r="483">
          <cell r="A483" t="str">
            <v xml:space="preserve">   4.  Level IV</v>
          </cell>
          <cell r="B483">
            <v>0</v>
          </cell>
          <cell r="C483">
            <v>0</v>
          </cell>
          <cell r="D483">
            <v>0</v>
          </cell>
          <cell r="E483">
            <v>0</v>
          </cell>
          <cell r="F483">
            <v>0</v>
          </cell>
          <cell r="G483">
            <v>0</v>
          </cell>
          <cell r="I483" t="str">
            <v xml:space="preserve">   4.  Level IV</v>
          </cell>
          <cell r="J483">
            <v>0</v>
          </cell>
          <cell r="K483">
            <v>0</v>
          </cell>
          <cell r="L483">
            <v>0</v>
          </cell>
          <cell r="M483">
            <v>0</v>
          </cell>
          <cell r="N483">
            <v>0</v>
          </cell>
          <cell r="O483">
            <v>0</v>
          </cell>
          <cell r="Q483" t="str">
            <v xml:space="preserve">   4.  Level IV</v>
          </cell>
          <cell r="R483">
            <v>0</v>
          </cell>
          <cell r="S483">
            <v>0</v>
          </cell>
          <cell r="T483">
            <v>0</v>
          </cell>
          <cell r="U483">
            <v>0</v>
          </cell>
          <cell r="V483">
            <v>0</v>
          </cell>
          <cell r="W483">
            <v>0</v>
          </cell>
          <cell r="Y483" t="str">
            <v xml:space="preserve">   4.  Level IV</v>
          </cell>
          <cell r="Z483">
            <v>0</v>
          </cell>
          <cell r="AA483">
            <v>0.97</v>
          </cell>
          <cell r="AB483">
            <v>0</v>
          </cell>
          <cell r="AC483">
            <v>13.969999999999999</v>
          </cell>
          <cell r="AD483">
            <v>0</v>
          </cell>
          <cell r="AE483">
            <v>14.94</v>
          </cell>
          <cell r="AG483" t="str">
            <v xml:space="preserve">   4.  Level IV</v>
          </cell>
          <cell r="AH483">
            <v>0</v>
          </cell>
          <cell r="AI483">
            <v>0</v>
          </cell>
          <cell r="AJ483">
            <v>0</v>
          </cell>
          <cell r="AK483">
            <v>0</v>
          </cell>
          <cell r="AL483">
            <v>0</v>
          </cell>
          <cell r="AM483">
            <v>0</v>
          </cell>
          <cell r="AO483" t="str">
            <v xml:space="preserve">   4.  Level IV</v>
          </cell>
          <cell r="AP483">
            <v>0</v>
          </cell>
          <cell r="AQ483">
            <v>7</v>
          </cell>
          <cell r="AR483">
            <v>0</v>
          </cell>
          <cell r="AS483">
            <v>0</v>
          </cell>
          <cell r="AT483">
            <v>0</v>
          </cell>
          <cell r="AU483">
            <v>7</v>
          </cell>
          <cell r="AW483" t="str">
            <v xml:space="preserve">   4.  Level IV</v>
          </cell>
          <cell r="AX483">
            <v>0</v>
          </cell>
          <cell r="AY483">
            <v>0</v>
          </cell>
          <cell r="AZ483">
            <v>0</v>
          </cell>
          <cell r="BA483">
            <v>0</v>
          </cell>
          <cell r="BB483">
            <v>0</v>
          </cell>
          <cell r="BC483">
            <v>0</v>
          </cell>
        </row>
        <row r="484">
          <cell r="A484" t="str">
            <v xml:space="preserve">   5.</v>
          </cell>
          <cell r="I484" t="str">
            <v xml:space="preserve">   5.</v>
          </cell>
          <cell r="Q484" t="str">
            <v xml:space="preserve">   5.</v>
          </cell>
          <cell r="Y484" t="str">
            <v xml:space="preserve">   5.</v>
          </cell>
          <cell r="AG484" t="str">
            <v xml:space="preserve">   5.</v>
          </cell>
          <cell r="AO484" t="str">
            <v xml:space="preserve">   5.</v>
          </cell>
          <cell r="AW484" t="str">
            <v xml:space="preserve">   5.</v>
          </cell>
        </row>
        <row r="485">
          <cell r="A485" t="str">
            <v xml:space="preserve">   6.</v>
          </cell>
          <cell r="I485" t="str">
            <v xml:space="preserve">   6.</v>
          </cell>
          <cell r="Q485" t="str">
            <v xml:space="preserve">   6.</v>
          </cell>
          <cell r="Y485" t="str">
            <v xml:space="preserve">   6.</v>
          </cell>
          <cell r="AG485" t="str">
            <v xml:space="preserve">   6.</v>
          </cell>
          <cell r="AO485" t="str">
            <v xml:space="preserve">   6.</v>
          </cell>
          <cell r="AW485" t="str">
            <v xml:space="preserve">   6.</v>
          </cell>
        </row>
        <row r="486">
          <cell r="A486" t="str">
            <v xml:space="preserve">   7.  Home and Community Based Services (HCBS) Total</v>
          </cell>
          <cell r="B486">
            <v>0</v>
          </cell>
          <cell r="C486">
            <v>193.30999999999997</v>
          </cell>
          <cell r="D486">
            <v>0</v>
          </cell>
          <cell r="E486">
            <v>50.61</v>
          </cell>
          <cell r="F486">
            <v>0</v>
          </cell>
          <cell r="G486">
            <v>243.91999999999996</v>
          </cell>
          <cell r="I486" t="str">
            <v xml:space="preserve">   7.  Home and Community Based Services (HCBS) Total</v>
          </cell>
          <cell r="J486">
            <v>0</v>
          </cell>
          <cell r="K486">
            <v>338.48</v>
          </cell>
          <cell r="L486">
            <v>0</v>
          </cell>
          <cell r="M486">
            <v>88.35</v>
          </cell>
          <cell r="N486">
            <v>0</v>
          </cell>
          <cell r="O486">
            <v>426.83000000000004</v>
          </cell>
          <cell r="Q486" t="str">
            <v xml:space="preserve">   7.  Home and Community Based Services (HCBS) Total</v>
          </cell>
          <cell r="R486">
            <v>0</v>
          </cell>
          <cell r="S486">
            <v>95.550000000000011</v>
          </cell>
          <cell r="T486">
            <v>0</v>
          </cell>
          <cell r="U486">
            <v>14.07</v>
          </cell>
          <cell r="V486">
            <v>0</v>
          </cell>
          <cell r="W486">
            <v>109.62</v>
          </cell>
          <cell r="Y486" t="str">
            <v xml:space="preserve">   7.  Home and Community Based Services (HCBS) Total</v>
          </cell>
          <cell r="Z486">
            <v>0</v>
          </cell>
          <cell r="AA486">
            <v>8554.57</v>
          </cell>
          <cell r="AB486">
            <v>0</v>
          </cell>
          <cell r="AC486">
            <v>1510.57</v>
          </cell>
          <cell r="AD486">
            <v>0</v>
          </cell>
          <cell r="AE486">
            <v>10065.14</v>
          </cell>
          <cell r="AG486" t="str">
            <v xml:space="preserve">   7.  Home and Community Based Services (HCBS) Total</v>
          </cell>
          <cell r="AH486">
            <v>0</v>
          </cell>
          <cell r="AI486">
            <v>1325.78</v>
          </cell>
          <cell r="AJ486">
            <v>0</v>
          </cell>
          <cell r="AK486">
            <v>251.34</v>
          </cell>
          <cell r="AL486">
            <v>0</v>
          </cell>
          <cell r="AM486">
            <v>1577.12</v>
          </cell>
          <cell r="AO486" t="str">
            <v xml:space="preserve">   7.  Home and Community Based Services (HCBS) Total</v>
          </cell>
          <cell r="AP486">
            <v>0</v>
          </cell>
          <cell r="AQ486">
            <v>479.69000000000005</v>
          </cell>
          <cell r="AR486">
            <v>0</v>
          </cell>
          <cell r="AS486">
            <v>135.70999999999998</v>
          </cell>
          <cell r="AT486">
            <v>0</v>
          </cell>
          <cell r="AU486">
            <v>615.40000000000009</v>
          </cell>
          <cell r="AW486" t="str">
            <v xml:space="preserve">   7.  Home and Community Based Services (HCBS) Total</v>
          </cell>
          <cell r="AX486">
            <v>0</v>
          </cell>
          <cell r="AY486">
            <v>1021.8000000000001</v>
          </cell>
          <cell r="AZ486">
            <v>0</v>
          </cell>
          <cell r="BA486">
            <v>258.95</v>
          </cell>
          <cell r="BB486">
            <v>0</v>
          </cell>
          <cell r="BC486">
            <v>1280.75</v>
          </cell>
        </row>
        <row r="487">
          <cell r="A487" t="str">
            <v xml:space="preserve">       a.  Adult Foster Care</v>
          </cell>
          <cell r="B487">
            <v>0</v>
          </cell>
          <cell r="C487">
            <v>0</v>
          </cell>
          <cell r="D487">
            <v>0</v>
          </cell>
          <cell r="E487">
            <v>0</v>
          </cell>
          <cell r="F487">
            <v>0</v>
          </cell>
          <cell r="G487">
            <v>0</v>
          </cell>
          <cell r="I487" t="str">
            <v xml:space="preserve">       a.  Adult Foster Care</v>
          </cell>
          <cell r="J487">
            <v>0</v>
          </cell>
          <cell r="K487">
            <v>0</v>
          </cell>
          <cell r="L487">
            <v>0</v>
          </cell>
          <cell r="M487">
            <v>1.17</v>
          </cell>
          <cell r="N487">
            <v>0</v>
          </cell>
          <cell r="O487">
            <v>1.17</v>
          </cell>
          <cell r="Q487" t="str">
            <v xml:space="preserve">       a.  Adult Foster Care</v>
          </cell>
          <cell r="R487">
            <v>0</v>
          </cell>
          <cell r="S487">
            <v>0</v>
          </cell>
          <cell r="T487">
            <v>0</v>
          </cell>
          <cell r="U487">
            <v>0</v>
          </cell>
          <cell r="V487">
            <v>0</v>
          </cell>
          <cell r="W487">
            <v>0</v>
          </cell>
          <cell r="Y487" t="str">
            <v xml:space="preserve">       a.  Adult Foster Care</v>
          </cell>
          <cell r="Z487">
            <v>0</v>
          </cell>
          <cell r="AA487">
            <v>161.51</v>
          </cell>
          <cell r="AB487">
            <v>0</v>
          </cell>
          <cell r="AC487">
            <v>26.04</v>
          </cell>
          <cell r="AD487">
            <v>0</v>
          </cell>
          <cell r="AE487">
            <v>187.54999999999998</v>
          </cell>
          <cell r="AG487" t="str">
            <v xml:space="preserve">       a.  Adult Foster Care</v>
          </cell>
          <cell r="AH487">
            <v>0</v>
          </cell>
          <cell r="AI487">
            <v>12.9</v>
          </cell>
          <cell r="AJ487">
            <v>0</v>
          </cell>
          <cell r="AK487">
            <v>5.73</v>
          </cell>
          <cell r="AL487">
            <v>0</v>
          </cell>
          <cell r="AM487">
            <v>18.630000000000003</v>
          </cell>
          <cell r="AO487" t="str">
            <v xml:space="preserve">       a.  Adult Foster Care</v>
          </cell>
          <cell r="AP487">
            <v>0</v>
          </cell>
          <cell r="AQ487">
            <v>0</v>
          </cell>
          <cell r="AR487">
            <v>0</v>
          </cell>
          <cell r="AS487">
            <v>0</v>
          </cell>
          <cell r="AT487">
            <v>0</v>
          </cell>
          <cell r="AU487">
            <v>0</v>
          </cell>
          <cell r="AW487" t="str">
            <v xml:space="preserve">       a.  Adult Foster Care</v>
          </cell>
          <cell r="AX487">
            <v>0</v>
          </cell>
          <cell r="AY487">
            <v>4</v>
          </cell>
          <cell r="AZ487">
            <v>0</v>
          </cell>
          <cell r="BA487">
            <v>0</v>
          </cell>
          <cell r="BB487">
            <v>0</v>
          </cell>
          <cell r="BC487">
            <v>4</v>
          </cell>
        </row>
        <row r="488">
          <cell r="A488" t="str">
            <v xml:space="preserve">       b.  Assisted Living Home (Adult Care Home)</v>
          </cell>
          <cell r="B488">
            <v>0</v>
          </cell>
          <cell r="C488">
            <v>44.36</v>
          </cell>
          <cell r="D488">
            <v>0</v>
          </cell>
          <cell r="E488">
            <v>1.66</v>
          </cell>
          <cell r="F488">
            <v>0</v>
          </cell>
          <cell r="G488">
            <v>46.019999999999996</v>
          </cell>
          <cell r="I488" t="str">
            <v xml:space="preserve">       b.  Assisted Living Home (Adult Care Home)</v>
          </cell>
          <cell r="J488">
            <v>0</v>
          </cell>
          <cell r="K488">
            <v>19.060000000000002</v>
          </cell>
          <cell r="L488">
            <v>0</v>
          </cell>
          <cell r="M488">
            <v>4.7</v>
          </cell>
          <cell r="N488">
            <v>0</v>
          </cell>
          <cell r="O488">
            <v>23.76</v>
          </cell>
          <cell r="Q488" t="str">
            <v xml:space="preserve">       b.  Assisted Living Home (Adult Care Home)</v>
          </cell>
          <cell r="R488">
            <v>0</v>
          </cell>
          <cell r="S488">
            <v>0</v>
          </cell>
          <cell r="T488">
            <v>0</v>
          </cell>
          <cell r="U488">
            <v>0</v>
          </cell>
          <cell r="V488">
            <v>0</v>
          </cell>
          <cell r="W488">
            <v>0</v>
          </cell>
          <cell r="Y488" t="str">
            <v xml:space="preserve">       b.  Assisted Living Home (Adult Care Home)</v>
          </cell>
          <cell r="Z488">
            <v>0</v>
          </cell>
          <cell r="AA488">
            <v>1894.61</v>
          </cell>
          <cell r="AB488">
            <v>0</v>
          </cell>
          <cell r="AC488">
            <v>120.88</v>
          </cell>
          <cell r="AD488">
            <v>0</v>
          </cell>
          <cell r="AE488">
            <v>2015.4899999999998</v>
          </cell>
          <cell r="AG488" t="str">
            <v xml:space="preserve">       b.  Assisted Living Home (Adult Care Home)</v>
          </cell>
          <cell r="AH488">
            <v>0</v>
          </cell>
          <cell r="AI488">
            <v>30.16</v>
          </cell>
          <cell r="AJ488">
            <v>0</v>
          </cell>
          <cell r="AK488">
            <v>10.3</v>
          </cell>
          <cell r="AL488">
            <v>0</v>
          </cell>
          <cell r="AM488">
            <v>40.46</v>
          </cell>
          <cell r="AO488" t="str">
            <v xml:space="preserve">       b.  Assisted Living Home (Adult Care Home)</v>
          </cell>
          <cell r="AP488">
            <v>0</v>
          </cell>
          <cell r="AQ488">
            <v>84.77</v>
          </cell>
          <cell r="AR488">
            <v>0</v>
          </cell>
          <cell r="AS488">
            <v>12</v>
          </cell>
          <cell r="AT488">
            <v>0</v>
          </cell>
          <cell r="AU488">
            <v>96.77</v>
          </cell>
          <cell r="AW488" t="str">
            <v xml:space="preserve">       b.  Assisted Living Home (Adult Care Home)</v>
          </cell>
          <cell r="AX488">
            <v>0</v>
          </cell>
          <cell r="AY488">
            <v>114.64999999999999</v>
          </cell>
          <cell r="AZ488">
            <v>0</v>
          </cell>
          <cell r="BA488">
            <v>10.27</v>
          </cell>
          <cell r="BB488">
            <v>0</v>
          </cell>
          <cell r="BC488">
            <v>124.91999999999999</v>
          </cell>
        </row>
        <row r="489">
          <cell r="A489" t="str">
            <v xml:space="preserve">       c.  Group Home (DD)</v>
          </cell>
          <cell r="B489">
            <v>0</v>
          </cell>
          <cell r="C489">
            <v>0</v>
          </cell>
          <cell r="D489">
            <v>0</v>
          </cell>
          <cell r="E489">
            <v>0</v>
          </cell>
          <cell r="F489">
            <v>0</v>
          </cell>
          <cell r="G489">
            <v>0</v>
          </cell>
          <cell r="I489" t="str">
            <v xml:space="preserve">       c.  Group Home (DD)</v>
          </cell>
          <cell r="J489">
            <v>0</v>
          </cell>
          <cell r="K489">
            <v>0</v>
          </cell>
          <cell r="L489">
            <v>0</v>
          </cell>
          <cell r="M489">
            <v>0</v>
          </cell>
          <cell r="N489">
            <v>0</v>
          </cell>
          <cell r="O489">
            <v>0</v>
          </cell>
          <cell r="Q489" t="str">
            <v xml:space="preserve">       c.  Group Home (DD)</v>
          </cell>
          <cell r="R489">
            <v>0</v>
          </cell>
          <cell r="S489">
            <v>0</v>
          </cell>
          <cell r="T489">
            <v>0</v>
          </cell>
          <cell r="U489">
            <v>0</v>
          </cell>
          <cell r="V489">
            <v>0</v>
          </cell>
          <cell r="W489">
            <v>0</v>
          </cell>
          <cell r="Y489" t="str">
            <v xml:space="preserve">       c.  Group Home (DD)</v>
          </cell>
          <cell r="Z489">
            <v>0</v>
          </cell>
          <cell r="AA489">
            <v>4.0299999999999994</v>
          </cell>
          <cell r="AB489">
            <v>0</v>
          </cell>
          <cell r="AC489">
            <v>0</v>
          </cell>
          <cell r="AD489">
            <v>0</v>
          </cell>
          <cell r="AE489">
            <v>4.0299999999999994</v>
          </cell>
          <cell r="AG489" t="str">
            <v xml:space="preserve">       c.  Group Home (DD)</v>
          </cell>
          <cell r="AH489">
            <v>0</v>
          </cell>
          <cell r="AI489">
            <v>0</v>
          </cell>
          <cell r="AJ489">
            <v>0</v>
          </cell>
          <cell r="AK489">
            <v>0</v>
          </cell>
          <cell r="AL489">
            <v>0</v>
          </cell>
          <cell r="AM489">
            <v>0</v>
          </cell>
          <cell r="AO489" t="str">
            <v xml:space="preserve">       c.  Group Home (DD)</v>
          </cell>
          <cell r="AP489">
            <v>0</v>
          </cell>
          <cell r="AQ489">
            <v>0</v>
          </cell>
          <cell r="AR489">
            <v>0</v>
          </cell>
          <cell r="AS489">
            <v>0</v>
          </cell>
          <cell r="AT489">
            <v>0</v>
          </cell>
          <cell r="AU489">
            <v>0</v>
          </cell>
          <cell r="AW489" t="str">
            <v xml:space="preserve">       c.  Group Home (DD)</v>
          </cell>
          <cell r="AX489">
            <v>0</v>
          </cell>
          <cell r="AY489">
            <v>0</v>
          </cell>
          <cell r="AZ489">
            <v>0</v>
          </cell>
          <cell r="BA489">
            <v>0</v>
          </cell>
          <cell r="BB489">
            <v>0</v>
          </cell>
          <cell r="BC489">
            <v>0</v>
          </cell>
        </row>
        <row r="490">
          <cell r="A490" t="str">
            <v xml:space="preserve">       d.  Individual Home</v>
          </cell>
          <cell r="B490">
            <v>0</v>
          </cell>
          <cell r="C490">
            <v>79.72999999999999</v>
          </cell>
          <cell r="D490">
            <v>0</v>
          </cell>
          <cell r="E490">
            <v>36.950000000000003</v>
          </cell>
          <cell r="F490">
            <v>0</v>
          </cell>
          <cell r="G490">
            <v>116.67999999999999</v>
          </cell>
          <cell r="I490" t="str">
            <v xml:space="preserve">       d.  Individual Home</v>
          </cell>
          <cell r="J490">
            <v>0</v>
          </cell>
          <cell r="K490">
            <v>104.99</v>
          </cell>
          <cell r="L490">
            <v>0</v>
          </cell>
          <cell r="M490">
            <v>45.69</v>
          </cell>
          <cell r="N490">
            <v>0</v>
          </cell>
          <cell r="O490">
            <v>150.68</v>
          </cell>
          <cell r="Q490" t="str">
            <v xml:space="preserve">       d.  Individual Home</v>
          </cell>
          <cell r="R490">
            <v>0</v>
          </cell>
          <cell r="S490">
            <v>69.900000000000006</v>
          </cell>
          <cell r="T490">
            <v>0</v>
          </cell>
          <cell r="U490">
            <v>3</v>
          </cell>
          <cell r="V490">
            <v>0</v>
          </cell>
          <cell r="W490">
            <v>72.900000000000006</v>
          </cell>
          <cell r="Y490" t="str">
            <v xml:space="preserve">       d.  Individual Home</v>
          </cell>
          <cell r="Z490">
            <v>0</v>
          </cell>
          <cell r="AA490">
            <v>1965.87</v>
          </cell>
          <cell r="AB490">
            <v>0</v>
          </cell>
          <cell r="AC490">
            <v>726.05</v>
          </cell>
          <cell r="AD490">
            <v>0</v>
          </cell>
          <cell r="AE490">
            <v>2691.92</v>
          </cell>
          <cell r="AG490" t="str">
            <v xml:space="preserve">       d.  Individual Home</v>
          </cell>
          <cell r="AH490">
            <v>0</v>
          </cell>
          <cell r="AI490">
            <v>534.37</v>
          </cell>
          <cell r="AJ490">
            <v>0</v>
          </cell>
          <cell r="AK490">
            <v>126.09</v>
          </cell>
          <cell r="AL490">
            <v>0</v>
          </cell>
          <cell r="AM490">
            <v>660.46</v>
          </cell>
          <cell r="AO490" t="str">
            <v xml:space="preserve">       d.  Individual Home</v>
          </cell>
          <cell r="AP490">
            <v>0</v>
          </cell>
          <cell r="AQ490">
            <v>196.08</v>
          </cell>
          <cell r="AR490">
            <v>0</v>
          </cell>
          <cell r="AS490">
            <v>78.42</v>
          </cell>
          <cell r="AT490">
            <v>0</v>
          </cell>
          <cell r="AU490">
            <v>274.5</v>
          </cell>
          <cell r="AW490" t="str">
            <v xml:space="preserve">       d.  Individual Home</v>
          </cell>
          <cell r="AX490">
            <v>0</v>
          </cell>
          <cell r="AY490">
            <v>336.13</v>
          </cell>
          <cell r="AZ490">
            <v>0</v>
          </cell>
          <cell r="BA490">
            <v>124.83999999999999</v>
          </cell>
          <cell r="BB490">
            <v>0</v>
          </cell>
          <cell r="BC490">
            <v>460.96999999999997</v>
          </cell>
        </row>
        <row r="491">
          <cell r="A491" t="str">
            <v xml:space="preserve">       e.  Assisted Living Centers (SRL)</v>
          </cell>
          <cell r="B491">
            <v>0</v>
          </cell>
          <cell r="C491">
            <v>3.3200000000000003</v>
          </cell>
          <cell r="D491">
            <v>0</v>
          </cell>
          <cell r="E491">
            <v>3</v>
          </cell>
          <cell r="F491">
            <v>0</v>
          </cell>
          <cell r="G491">
            <v>6.32</v>
          </cell>
          <cell r="I491" t="str">
            <v xml:space="preserve">       e.  Assisted Living Centers (SRL)</v>
          </cell>
          <cell r="J491">
            <v>0</v>
          </cell>
          <cell r="K491">
            <v>144.38999999999999</v>
          </cell>
          <cell r="L491">
            <v>0</v>
          </cell>
          <cell r="M491">
            <v>8.17</v>
          </cell>
          <cell r="N491">
            <v>0</v>
          </cell>
          <cell r="O491">
            <v>152.55999999999997</v>
          </cell>
          <cell r="Q491" t="str">
            <v xml:space="preserve">       e.  Assisted Living Centers (SRL)</v>
          </cell>
          <cell r="R491">
            <v>0</v>
          </cell>
          <cell r="S491">
            <v>8.65</v>
          </cell>
          <cell r="T491">
            <v>0</v>
          </cell>
          <cell r="U491">
            <v>0</v>
          </cell>
          <cell r="V491">
            <v>0</v>
          </cell>
          <cell r="W491">
            <v>8.65</v>
          </cell>
          <cell r="Y491" t="str">
            <v xml:space="preserve">       e.  Assisted Living Centers (SRL)</v>
          </cell>
          <cell r="Z491">
            <v>0</v>
          </cell>
          <cell r="AA491">
            <v>2157.25</v>
          </cell>
          <cell r="AB491">
            <v>0</v>
          </cell>
          <cell r="AC491">
            <v>134.42000000000002</v>
          </cell>
          <cell r="AD491">
            <v>0</v>
          </cell>
          <cell r="AE491">
            <v>2291.67</v>
          </cell>
          <cell r="AG491" t="str">
            <v xml:space="preserve">       e.  Assisted Living Centers (SRL)</v>
          </cell>
          <cell r="AH491">
            <v>0</v>
          </cell>
          <cell r="AI491">
            <v>365.73</v>
          </cell>
          <cell r="AJ491">
            <v>0</v>
          </cell>
          <cell r="AK491">
            <v>51.73</v>
          </cell>
          <cell r="AL491">
            <v>0</v>
          </cell>
          <cell r="AM491">
            <v>417.46000000000004</v>
          </cell>
          <cell r="AO491" t="str">
            <v xml:space="preserve">       e.  Assisted Living Centers (SRL)</v>
          </cell>
          <cell r="AP491">
            <v>0</v>
          </cell>
          <cell r="AQ491">
            <v>57.95</v>
          </cell>
          <cell r="AR491">
            <v>0</v>
          </cell>
          <cell r="AS491">
            <v>9.8000000000000007</v>
          </cell>
          <cell r="AT491">
            <v>0</v>
          </cell>
          <cell r="AU491">
            <v>67.75</v>
          </cell>
          <cell r="AW491" t="str">
            <v xml:space="preserve">       e.  Assisted Living Centers (SRL)</v>
          </cell>
          <cell r="AX491">
            <v>0</v>
          </cell>
          <cell r="AY491">
            <v>144.34</v>
          </cell>
          <cell r="AZ491">
            <v>0</v>
          </cell>
          <cell r="BA491">
            <v>16.86</v>
          </cell>
          <cell r="BB491">
            <v>0</v>
          </cell>
          <cell r="BC491">
            <v>161.19999999999999</v>
          </cell>
        </row>
        <row r="492">
          <cell r="A492" t="str">
            <v xml:space="preserve">       f.  Other (Hospice)</v>
          </cell>
          <cell r="B492">
            <v>0</v>
          </cell>
          <cell r="C492">
            <v>17.420000000000002</v>
          </cell>
          <cell r="D492">
            <v>0</v>
          </cell>
          <cell r="E492">
            <v>0</v>
          </cell>
          <cell r="F492">
            <v>0</v>
          </cell>
          <cell r="G492">
            <v>17.420000000000002</v>
          </cell>
          <cell r="I492" t="str">
            <v xml:space="preserve">       f.  Other (Hospice)</v>
          </cell>
          <cell r="J492">
            <v>0</v>
          </cell>
          <cell r="K492">
            <v>1.9100000000000001</v>
          </cell>
          <cell r="L492">
            <v>0</v>
          </cell>
          <cell r="M492">
            <v>0</v>
          </cell>
          <cell r="N492">
            <v>0</v>
          </cell>
          <cell r="O492">
            <v>1.9100000000000001</v>
          </cell>
          <cell r="Q492" t="str">
            <v xml:space="preserve">       f.  Other (Hospice)</v>
          </cell>
          <cell r="R492">
            <v>0</v>
          </cell>
          <cell r="S492">
            <v>0</v>
          </cell>
          <cell r="T492">
            <v>0</v>
          </cell>
          <cell r="U492">
            <v>3</v>
          </cell>
          <cell r="V492">
            <v>0</v>
          </cell>
          <cell r="W492">
            <v>3</v>
          </cell>
          <cell r="Y492" t="str">
            <v xml:space="preserve">       f.  Other (Hospice)</v>
          </cell>
          <cell r="Z492">
            <v>0</v>
          </cell>
          <cell r="AA492">
            <v>287.98</v>
          </cell>
          <cell r="AB492">
            <v>0</v>
          </cell>
          <cell r="AC492">
            <v>6.83</v>
          </cell>
          <cell r="AD492">
            <v>0</v>
          </cell>
          <cell r="AE492">
            <v>294.81</v>
          </cell>
          <cell r="AG492" t="str">
            <v xml:space="preserve">       f.  Other (Hospice)</v>
          </cell>
          <cell r="AH492">
            <v>0</v>
          </cell>
          <cell r="AI492">
            <v>4.0600000000000005</v>
          </cell>
          <cell r="AJ492">
            <v>0</v>
          </cell>
          <cell r="AK492">
            <v>0</v>
          </cell>
          <cell r="AL492">
            <v>0</v>
          </cell>
          <cell r="AM492">
            <v>4.0600000000000005</v>
          </cell>
          <cell r="AO492" t="str">
            <v xml:space="preserve">       f.  Other (Hospice)</v>
          </cell>
          <cell r="AP492">
            <v>0</v>
          </cell>
          <cell r="AQ492">
            <v>16.420000000000002</v>
          </cell>
          <cell r="AR492">
            <v>0</v>
          </cell>
          <cell r="AS492">
            <v>6.49</v>
          </cell>
          <cell r="AT492">
            <v>0</v>
          </cell>
          <cell r="AU492">
            <v>22.910000000000004</v>
          </cell>
          <cell r="AW492" t="str">
            <v xml:space="preserve">       f.  Other (Hospice)</v>
          </cell>
          <cell r="AX492">
            <v>0</v>
          </cell>
          <cell r="AY492">
            <v>25.36</v>
          </cell>
          <cell r="AZ492">
            <v>0</v>
          </cell>
          <cell r="BA492">
            <v>1.9</v>
          </cell>
          <cell r="BB492">
            <v>0</v>
          </cell>
          <cell r="BC492">
            <v>27.259999999999998</v>
          </cell>
        </row>
        <row r="493">
          <cell r="A493" t="str">
            <v xml:space="preserve">       g.  Attendant Care</v>
          </cell>
          <cell r="B493">
            <v>0</v>
          </cell>
          <cell r="C493">
            <v>48.48</v>
          </cell>
          <cell r="D493">
            <v>0</v>
          </cell>
          <cell r="E493">
            <v>9</v>
          </cell>
          <cell r="F493">
            <v>0</v>
          </cell>
          <cell r="G493">
            <v>57.48</v>
          </cell>
          <cell r="I493" t="str">
            <v xml:space="preserve">       g.  Attendant Care</v>
          </cell>
          <cell r="J493">
            <v>0</v>
          </cell>
          <cell r="K493">
            <v>68.13</v>
          </cell>
          <cell r="L493">
            <v>0</v>
          </cell>
          <cell r="M493">
            <v>28.619999999999997</v>
          </cell>
          <cell r="N493">
            <v>0</v>
          </cell>
          <cell r="O493">
            <v>96.75</v>
          </cell>
          <cell r="Q493" t="str">
            <v xml:space="preserve">       g.  Attendant Care</v>
          </cell>
          <cell r="R493">
            <v>0</v>
          </cell>
          <cell r="S493">
            <v>17</v>
          </cell>
          <cell r="T493">
            <v>0</v>
          </cell>
          <cell r="U493">
            <v>8.07</v>
          </cell>
          <cell r="V493">
            <v>0</v>
          </cell>
          <cell r="W493">
            <v>25.07</v>
          </cell>
          <cell r="Y493" t="str">
            <v xml:space="preserve">       g.  Attendant Care</v>
          </cell>
          <cell r="Z493">
            <v>0</v>
          </cell>
          <cell r="AA493">
            <v>2083.3200000000002</v>
          </cell>
          <cell r="AB493">
            <v>0</v>
          </cell>
          <cell r="AC493">
            <v>496.35</v>
          </cell>
          <cell r="AD493">
            <v>0</v>
          </cell>
          <cell r="AE493">
            <v>2579.67</v>
          </cell>
          <cell r="AG493" t="str">
            <v xml:space="preserve">       g.  Attendant Care</v>
          </cell>
          <cell r="AH493">
            <v>0</v>
          </cell>
          <cell r="AI493">
            <v>378.56</v>
          </cell>
          <cell r="AJ493">
            <v>0</v>
          </cell>
          <cell r="AK493">
            <v>57.490000000000009</v>
          </cell>
          <cell r="AL493">
            <v>0</v>
          </cell>
          <cell r="AM493">
            <v>436.05</v>
          </cell>
          <cell r="AO493" t="str">
            <v xml:space="preserve">       g.  Attendant Care</v>
          </cell>
          <cell r="AP493">
            <v>0</v>
          </cell>
          <cell r="AQ493">
            <v>124.47</v>
          </cell>
          <cell r="AR493">
            <v>0</v>
          </cell>
          <cell r="AS493">
            <v>29</v>
          </cell>
          <cell r="AT493">
            <v>0</v>
          </cell>
          <cell r="AU493">
            <v>153.47</v>
          </cell>
          <cell r="AW493" t="str">
            <v xml:space="preserve">       g.  Attendant Care</v>
          </cell>
          <cell r="AX493">
            <v>0</v>
          </cell>
          <cell r="AY493">
            <v>397.32000000000005</v>
          </cell>
          <cell r="AZ493">
            <v>0</v>
          </cell>
          <cell r="BA493">
            <v>105.08000000000001</v>
          </cell>
          <cell r="BB493">
            <v>0</v>
          </cell>
          <cell r="BC493">
            <v>502.40000000000009</v>
          </cell>
        </row>
        <row r="494">
          <cell r="A494" t="str">
            <v xml:space="preserve">   8.  Acute Care</v>
          </cell>
          <cell r="B494">
            <v>0</v>
          </cell>
          <cell r="C494">
            <v>3.2</v>
          </cell>
          <cell r="D494">
            <v>0</v>
          </cell>
          <cell r="E494">
            <v>0</v>
          </cell>
          <cell r="F494">
            <v>0</v>
          </cell>
          <cell r="G494">
            <v>3.2</v>
          </cell>
          <cell r="I494" t="str">
            <v xml:space="preserve">   8.  Acute Care</v>
          </cell>
          <cell r="J494">
            <v>0</v>
          </cell>
          <cell r="K494">
            <v>11</v>
          </cell>
          <cell r="L494">
            <v>0</v>
          </cell>
          <cell r="M494">
            <v>6.0299999999999994</v>
          </cell>
          <cell r="N494">
            <v>0</v>
          </cell>
          <cell r="O494">
            <v>17.03</v>
          </cell>
          <cell r="Q494" t="str">
            <v xml:space="preserve">   8.  Acute Care</v>
          </cell>
          <cell r="R494">
            <v>0</v>
          </cell>
          <cell r="S494">
            <v>7.5299999999999994</v>
          </cell>
          <cell r="T494">
            <v>0</v>
          </cell>
          <cell r="U494">
            <v>0</v>
          </cell>
          <cell r="V494">
            <v>0</v>
          </cell>
          <cell r="W494">
            <v>7.5299999999999994</v>
          </cell>
          <cell r="Y494" t="str">
            <v xml:space="preserve">   8.  Acute Care</v>
          </cell>
          <cell r="Z494">
            <v>0</v>
          </cell>
          <cell r="AA494">
            <v>114.88</v>
          </cell>
          <cell r="AB494">
            <v>0</v>
          </cell>
          <cell r="AC494">
            <v>85.009999999999991</v>
          </cell>
          <cell r="AD494">
            <v>0</v>
          </cell>
          <cell r="AE494">
            <v>199.89</v>
          </cell>
          <cell r="AG494" t="str">
            <v xml:space="preserve">   8.  Acute Care</v>
          </cell>
          <cell r="AH494">
            <v>0</v>
          </cell>
          <cell r="AI494">
            <v>6.9</v>
          </cell>
          <cell r="AJ494">
            <v>0</v>
          </cell>
          <cell r="AK494">
            <v>0</v>
          </cell>
          <cell r="AL494">
            <v>0</v>
          </cell>
          <cell r="AM494">
            <v>6.9</v>
          </cell>
          <cell r="AO494" t="str">
            <v xml:space="preserve">   8.  Acute Care</v>
          </cell>
          <cell r="AP494">
            <v>0</v>
          </cell>
          <cell r="AQ494">
            <v>4.57</v>
          </cell>
          <cell r="AR494">
            <v>0</v>
          </cell>
          <cell r="AS494">
            <v>0</v>
          </cell>
          <cell r="AT494">
            <v>0</v>
          </cell>
          <cell r="AU494">
            <v>4.57</v>
          </cell>
          <cell r="AW494" t="str">
            <v xml:space="preserve">   8.  Acute Care</v>
          </cell>
          <cell r="AX494">
            <v>0</v>
          </cell>
          <cell r="AY494">
            <v>5</v>
          </cell>
          <cell r="AZ494">
            <v>0</v>
          </cell>
          <cell r="BA494">
            <v>5</v>
          </cell>
          <cell r="BB494">
            <v>0</v>
          </cell>
          <cell r="BC494">
            <v>10</v>
          </cell>
        </row>
        <row r="495">
          <cell r="A495" t="str">
            <v xml:space="preserve">   9.  Ventilator</v>
          </cell>
          <cell r="B495">
            <v>0</v>
          </cell>
          <cell r="C495">
            <v>0</v>
          </cell>
          <cell r="D495">
            <v>0</v>
          </cell>
          <cell r="E495">
            <v>0</v>
          </cell>
          <cell r="F495">
            <v>0</v>
          </cell>
          <cell r="G495">
            <v>0</v>
          </cell>
          <cell r="I495" t="str">
            <v xml:space="preserve">   9.  Ventilator</v>
          </cell>
          <cell r="J495">
            <v>0</v>
          </cell>
          <cell r="K495">
            <v>0</v>
          </cell>
          <cell r="L495">
            <v>0</v>
          </cell>
          <cell r="M495">
            <v>3</v>
          </cell>
          <cell r="N495">
            <v>0</v>
          </cell>
          <cell r="O495">
            <v>3</v>
          </cell>
          <cell r="Q495" t="str">
            <v xml:space="preserve">   9.  Ventilator</v>
          </cell>
          <cell r="R495">
            <v>0</v>
          </cell>
          <cell r="S495">
            <v>0</v>
          </cell>
          <cell r="T495">
            <v>0</v>
          </cell>
          <cell r="U495">
            <v>0</v>
          </cell>
          <cell r="V495">
            <v>0</v>
          </cell>
          <cell r="W495">
            <v>0</v>
          </cell>
          <cell r="Y495" t="str">
            <v xml:space="preserve">   9.  Ventilator</v>
          </cell>
          <cell r="Z495">
            <v>0</v>
          </cell>
          <cell r="AA495">
            <v>64.25</v>
          </cell>
          <cell r="AB495">
            <v>0</v>
          </cell>
          <cell r="AC495">
            <v>56.510000000000005</v>
          </cell>
          <cell r="AD495">
            <v>0</v>
          </cell>
          <cell r="AE495">
            <v>120.76</v>
          </cell>
          <cell r="AG495" t="str">
            <v xml:space="preserve">   9.  Ventilator</v>
          </cell>
          <cell r="AH495">
            <v>0</v>
          </cell>
          <cell r="AI495">
            <v>4</v>
          </cell>
          <cell r="AJ495">
            <v>0</v>
          </cell>
          <cell r="AK495">
            <v>0</v>
          </cell>
          <cell r="AL495">
            <v>0</v>
          </cell>
          <cell r="AM495">
            <v>4</v>
          </cell>
          <cell r="AO495" t="str">
            <v xml:space="preserve">   9.  Ventilator</v>
          </cell>
          <cell r="AP495">
            <v>0</v>
          </cell>
          <cell r="AQ495">
            <v>4</v>
          </cell>
          <cell r="AR495">
            <v>0</v>
          </cell>
          <cell r="AS495">
            <v>3</v>
          </cell>
          <cell r="AT495">
            <v>0</v>
          </cell>
          <cell r="AU495">
            <v>7</v>
          </cell>
          <cell r="AW495" t="str">
            <v xml:space="preserve">   9.  Ventilator</v>
          </cell>
          <cell r="AX495">
            <v>0</v>
          </cell>
          <cell r="AY495">
            <v>0</v>
          </cell>
          <cell r="AZ495">
            <v>0</v>
          </cell>
          <cell r="BA495">
            <v>3</v>
          </cell>
          <cell r="BB495">
            <v>0</v>
          </cell>
          <cell r="BC495">
            <v>3</v>
          </cell>
        </row>
        <row r="496">
          <cell r="A496" t="str">
            <v xml:space="preserve">  10.  Prior Period</v>
          </cell>
          <cell r="B496">
            <v>0</v>
          </cell>
          <cell r="C496">
            <v>1.9666999999999999</v>
          </cell>
          <cell r="D496">
            <v>0</v>
          </cell>
          <cell r="E496">
            <v>0</v>
          </cell>
          <cell r="F496">
            <v>0</v>
          </cell>
          <cell r="G496">
            <v>1.9666999999999999</v>
          </cell>
          <cell r="I496" t="str">
            <v xml:space="preserve">  10.  Prior Period</v>
          </cell>
          <cell r="J496">
            <v>0</v>
          </cell>
          <cell r="K496">
            <v>16.677399999999999</v>
          </cell>
          <cell r="L496">
            <v>0</v>
          </cell>
          <cell r="M496">
            <v>4.9333</v>
          </cell>
          <cell r="N496">
            <v>0</v>
          </cell>
          <cell r="O496">
            <v>21.610699999999998</v>
          </cell>
          <cell r="Q496" t="str">
            <v xml:space="preserve">  10.  Prior Period</v>
          </cell>
          <cell r="R496">
            <v>0</v>
          </cell>
          <cell r="S496">
            <v>19.161200000000001</v>
          </cell>
          <cell r="T496">
            <v>0</v>
          </cell>
          <cell r="U496">
            <v>0</v>
          </cell>
          <cell r="V496">
            <v>0</v>
          </cell>
          <cell r="W496">
            <v>19.161200000000001</v>
          </cell>
          <cell r="Y496" t="str">
            <v xml:space="preserve">  10.  Prior Period</v>
          </cell>
          <cell r="Z496">
            <v>0</v>
          </cell>
          <cell r="AA496">
            <v>506.45180000000005</v>
          </cell>
          <cell r="AB496">
            <v>0</v>
          </cell>
          <cell r="AC496">
            <v>36.459099999999999</v>
          </cell>
          <cell r="AD496">
            <v>0</v>
          </cell>
          <cell r="AE496">
            <v>542.91090000000008</v>
          </cell>
          <cell r="AG496" t="str">
            <v xml:space="preserve">  10.  Prior Period</v>
          </cell>
          <cell r="AH496">
            <v>0</v>
          </cell>
          <cell r="AI496">
            <v>80.073099999999997</v>
          </cell>
          <cell r="AJ496">
            <v>0</v>
          </cell>
          <cell r="AK496">
            <v>9.0333000000000006</v>
          </cell>
          <cell r="AL496">
            <v>0</v>
          </cell>
          <cell r="AM496">
            <v>89.106399999999994</v>
          </cell>
          <cell r="AO496" t="str">
            <v xml:space="preserve">  10.  Prior Period</v>
          </cell>
          <cell r="AP496">
            <v>0</v>
          </cell>
          <cell r="AQ496">
            <v>21.099999999999998</v>
          </cell>
          <cell r="AR496">
            <v>0</v>
          </cell>
          <cell r="AS496">
            <v>3.2300000000000002E-2</v>
          </cell>
          <cell r="AT496">
            <v>0</v>
          </cell>
          <cell r="AU496">
            <v>21.132299999999997</v>
          </cell>
          <cell r="AW496" t="str">
            <v xml:space="preserve">  10.  Prior Period</v>
          </cell>
          <cell r="AX496">
            <v>0</v>
          </cell>
          <cell r="AY496">
            <v>39.611800000000002</v>
          </cell>
          <cell r="AZ496">
            <v>0</v>
          </cell>
          <cell r="BA496">
            <v>0</v>
          </cell>
          <cell r="BB496">
            <v>0</v>
          </cell>
          <cell r="BC496">
            <v>39.611800000000002</v>
          </cell>
        </row>
        <row r="497">
          <cell r="A497" t="str">
            <v xml:space="preserve">  11.  Other - Not Placed</v>
          </cell>
          <cell r="B497">
            <v>0</v>
          </cell>
          <cell r="C497">
            <v>-23.29</v>
          </cell>
          <cell r="D497">
            <v>0</v>
          </cell>
          <cell r="E497">
            <v>-7</v>
          </cell>
          <cell r="F497">
            <v>0</v>
          </cell>
          <cell r="G497">
            <v>-30.29</v>
          </cell>
          <cell r="I497" t="str">
            <v xml:space="preserve">  11.  Other - Not Placed</v>
          </cell>
          <cell r="J497">
            <v>0</v>
          </cell>
          <cell r="K497">
            <v>-42.91</v>
          </cell>
          <cell r="L497">
            <v>0</v>
          </cell>
          <cell r="M497">
            <v>-4.43</v>
          </cell>
          <cell r="N497">
            <v>0</v>
          </cell>
          <cell r="O497">
            <v>-47.339999999999996</v>
          </cell>
          <cell r="Q497" t="str">
            <v xml:space="preserve">  11.  Other - Not Placed</v>
          </cell>
          <cell r="R497">
            <v>0</v>
          </cell>
          <cell r="S497">
            <v>-22.83</v>
          </cell>
          <cell r="T497">
            <v>0</v>
          </cell>
          <cell r="U497">
            <v>0</v>
          </cell>
          <cell r="V497">
            <v>0</v>
          </cell>
          <cell r="W497">
            <v>-22.83</v>
          </cell>
          <cell r="Y497" t="str">
            <v xml:space="preserve">  11.  Other - Not Placed</v>
          </cell>
          <cell r="Z497">
            <v>0</v>
          </cell>
          <cell r="AA497">
            <v>-1251.3499999999979</v>
          </cell>
          <cell r="AB497">
            <v>0</v>
          </cell>
          <cell r="AC497">
            <v>-184.51999999999998</v>
          </cell>
          <cell r="AD497">
            <v>0</v>
          </cell>
          <cell r="AE497">
            <v>-1435.8699999999978</v>
          </cell>
          <cell r="AG497" t="str">
            <v xml:space="preserve">  11.  Other - Not Placed</v>
          </cell>
          <cell r="AH497">
            <v>0</v>
          </cell>
          <cell r="AI497">
            <v>-294.55</v>
          </cell>
          <cell r="AJ497">
            <v>0</v>
          </cell>
          <cell r="AK497">
            <v>-14.290000000000001</v>
          </cell>
          <cell r="AL497">
            <v>0</v>
          </cell>
          <cell r="AM497">
            <v>-308.84000000000003</v>
          </cell>
          <cell r="AO497" t="str">
            <v xml:space="preserve">  11.  Other - Not Placed</v>
          </cell>
          <cell r="AP497">
            <v>0</v>
          </cell>
          <cell r="AQ497">
            <v>-31.769999999999996</v>
          </cell>
          <cell r="AR497">
            <v>0</v>
          </cell>
          <cell r="AS497">
            <v>-18.259999999999998</v>
          </cell>
          <cell r="AT497">
            <v>0</v>
          </cell>
          <cell r="AU497">
            <v>-50.029999999999994</v>
          </cell>
          <cell r="AW497" t="str">
            <v xml:space="preserve">  11.  Other - Not Placed</v>
          </cell>
          <cell r="AX497">
            <v>0</v>
          </cell>
          <cell r="AY497">
            <v>-270.71000000000004</v>
          </cell>
          <cell r="AZ497">
            <v>0</v>
          </cell>
          <cell r="BA497">
            <v>-48.54</v>
          </cell>
          <cell r="BB497">
            <v>0</v>
          </cell>
          <cell r="BC497">
            <v>-319.25000000000006</v>
          </cell>
        </row>
        <row r="499">
          <cell r="A499" t="str">
            <v>C.   Acute Patient Day Information</v>
          </cell>
          <cell r="I499" t="str">
            <v>C.   Acute Patient Day Information</v>
          </cell>
          <cell r="Q499" t="str">
            <v>C.   Acute Patient Day Information</v>
          </cell>
          <cell r="Y499" t="str">
            <v>C.   Acute Patient Day Information</v>
          </cell>
          <cell r="AG499" t="str">
            <v>C.   Acute Patient Day Information</v>
          </cell>
          <cell r="AO499" t="str">
            <v>C.   Acute Patient Day Information</v>
          </cell>
          <cell r="AW499" t="str">
            <v>C.   Acute Patient Day Information</v>
          </cell>
        </row>
        <row r="500">
          <cell r="A500" t="str">
            <v xml:space="preserve">       a.  Admissions</v>
          </cell>
          <cell r="B500">
            <v>0</v>
          </cell>
          <cell r="C500">
            <v>16</v>
          </cell>
          <cell r="D500">
            <v>0</v>
          </cell>
          <cell r="E500">
            <v>2</v>
          </cell>
          <cell r="F500">
            <v>0</v>
          </cell>
          <cell r="G500">
            <v>18</v>
          </cell>
          <cell r="I500" t="str">
            <v xml:space="preserve">       a.  Admissions</v>
          </cell>
          <cell r="J500">
            <v>0</v>
          </cell>
          <cell r="K500">
            <v>28</v>
          </cell>
          <cell r="L500">
            <v>0</v>
          </cell>
          <cell r="M500">
            <v>10</v>
          </cell>
          <cell r="N500">
            <v>0</v>
          </cell>
          <cell r="O500">
            <v>38</v>
          </cell>
          <cell r="Q500" t="str">
            <v xml:space="preserve">       a.  Admissions</v>
          </cell>
          <cell r="R500">
            <v>0</v>
          </cell>
          <cell r="S500">
            <v>17</v>
          </cell>
          <cell r="T500">
            <v>0</v>
          </cell>
          <cell r="U500">
            <v>2</v>
          </cell>
          <cell r="V500">
            <v>0</v>
          </cell>
          <cell r="W500">
            <v>19</v>
          </cell>
          <cell r="Y500" t="str">
            <v xml:space="preserve">       a.  Admissions</v>
          </cell>
          <cell r="Z500">
            <v>0</v>
          </cell>
          <cell r="AA500">
            <v>789</v>
          </cell>
          <cell r="AB500">
            <v>0</v>
          </cell>
          <cell r="AC500">
            <v>142</v>
          </cell>
          <cell r="AD500">
            <v>0</v>
          </cell>
          <cell r="AE500">
            <v>931</v>
          </cell>
          <cell r="AG500" t="str">
            <v xml:space="preserve">       a.  Admissions</v>
          </cell>
          <cell r="AH500">
            <v>0</v>
          </cell>
          <cell r="AI500">
            <v>125</v>
          </cell>
          <cell r="AJ500">
            <v>0</v>
          </cell>
          <cell r="AK500">
            <v>34</v>
          </cell>
          <cell r="AL500">
            <v>0</v>
          </cell>
          <cell r="AM500">
            <v>159</v>
          </cell>
          <cell r="AO500" t="str">
            <v xml:space="preserve">       a.  Admissions</v>
          </cell>
          <cell r="AP500">
            <v>0</v>
          </cell>
          <cell r="AQ500">
            <v>34</v>
          </cell>
          <cell r="AR500">
            <v>0</v>
          </cell>
          <cell r="AS500">
            <v>7</v>
          </cell>
          <cell r="AT500">
            <v>0</v>
          </cell>
          <cell r="AU500">
            <v>41</v>
          </cell>
          <cell r="AW500" t="str">
            <v xml:space="preserve">       a.  Admissions</v>
          </cell>
          <cell r="AX500">
            <v>0</v>
          </cell>
          <cell r="AY500">
            <v>112</v>
          </cell>
          <cell r="AZ500">
            <v>0</v>
          </cell>
          <cell r="BA500">
            <v>14</v>
          </cell>
          <cell r="BB500">
            <v>0</v>
          </cell>
          <cell r="BC500">
            <v>126</v>
          </cell>
        </row>
        <row r="501">
          <cell r="A501" t="str">
            <v xml:space="preserve">       b.  Patient Days</v>
          </cell>
          <cell r="B501">
            <v>0</v>
          </cell>
          <cell r="C501">
            <v>76</v>
          </cell>
          <cell r="D501">
            <v>0</v>
          </cell>
          <cell r="E501">
            <v>11</v>
          </cell>
          <cell r="F501">
            <v>0</v>
          </cell>
          <cell r="G501">
            <v>87</v>
          </cell>
          <cell r="I501" t="str">
            <v xml:space="preserve">       b.  Patient Days</v>
          </cell>
          <cell r="J501">
            <v>0</v>
          </cell>
          <cell r="K501">
            <v>170</v>
          </cell>
          <cell r="L501">
            <v>0</v>
          </cell>
          <cell r="M501">
            <v>63</v>
          </cell>
          <cell r="N501">
            <v>0</v>
          </cell>
          <cell r="O501">
            <v>233</v>
          </cell>
          <cell r="Q501" t="str">
            <v xml:space="preserve">       b.  Patient Days</v>
          </cell>
          <cell r="R501">
            <v>0</v>
          </cell>
          <cell r="S501">
            <v>95</v>
          </cell>
          <cell r="T501">
            <v>0</v>
          </cell>
          <cell r="U501">
            <v>6</v>
          </cell>
          <cell r="V501">
            <v>0</v>
          </cell>
          <cell r="W501">
            <v>101</v>
          </cell>
          <cell r="Y501" t="str">
            <v xml:space="preserve">       b.  Patient Days</v>
          </cell>
          <cell r="Z501">
            <v>0</v>
          </cell>
          <cell r="AA501">
            <v>4179</v>
          </cell>
          <cell r="AB501">
            <v>0</v>
          </cell>
          <cell r="AC501">
            <v>826</v>
          </cell>
          <cell r="AD501">
            <v>0</v>
          </cell>
          <cell r="AE501">
            <v>5005</v>
          </cell>
          <cell r="AG501" t="str">
            <v xml:space="preserve">       b.  Patient Days</v>
          </cell>
          <cell r="AH501">
            <v>0</v>
          </cell>
          <cell r="AI501">
            <v>727</v>
          </cell>
          <cell r="AJ501">
            <v>0</v>
          </cell>
          <cell r="AK501">
            <v>221</v>
          </cell>
          <cell r="AL501">
            <v>0</v>
          </cell>
          <cell r="AM501">
            <v>948</v>
          </cell>
          <cell r="AO501" t="str">
            <v xml:space="preserve">       b.  Patient Days</v>
          </cell>
          <cell r="AP501">
            <v>0</v>
          </cell>
          <cell r="AQ501">
            <v>165</v>
          </cell>
          <cell r="AR501">
            <v>0</v>
          </cell>
          <cell r="AS501">
            <v>52</v>
          </cell>
          <cell r="AT501">
            <v>0</v>
          </cell>
          <cell r="AU501">
            <v>217</v>
          </cell>
          <cell r="AW501" t="str">
            <v xml:space="preserve">       b.  Patient Days</v>
          </cell>
          <cell r="AX501">
            <v>0</v>
          </cell>
          <cell r="AY501">
            <v>682</v>
          </cell>
          <cell r="AZ501">
            <v>0</v>
          </cell>
          <cell r="BA501">
            <v>52</v>
          </cell>
          <cell r="BB501">
            <v>0</v>
          </cell>
          <cell r="BC501">
            <v>734</v>
          </cell>
        </row>
        <row r="502">
          <cell r="A502" t="str">
            <v xml:space="preserve">       c.  Discharges</v>
          </cell>
          <cell r="B502">
            <v>0</v>
          </cell>
          <cell r="C502">
            <v>18</v>
          </cell>
          <cell r="D502">
            <v>0</v>
          </cell>
          <cell r="E502">
            <v>2</v>
          </cell>
          <cell r="F502">
            <v>0</v>
          </cell>
          <cell r="G502">
            <v>20</v>
          </cell>
          <cell r="I502" t="str">
            <v xml:space="preserve">       c.  Discharges</v>
          </cell>
          <cell r="J502">
            <v>0</v>
          </cell>
          <cell r="K502">
            <v>26</v>
          </cell>
          <cell r="L502">
            <v>0</v>
          </cell>
          <cell r="M502">
            <v>10</v>
          </cell>
          <cell r="N502">
            <v>0</v>
          </cell>
          <cell r="O502">
            <v>36</v>
          </cell>
          <cell r="Q502" t="str">
            <v xml:space="preserve">       c.  Discharges</v>
          </cell>
          <cell r="R502">
            <v>0</v>
          </cell>
          <cell r="S502">
            <v>13</v>
          </cell>
          <cell r="T502">
            <v>0</v>
          </cell>
          <cell r="U502">
            <v>2</v>
          </cell>
          <cell r="V502">
            <v>0</v>
          </cell>
          <cell r="W502">
            <v>15</v>
          </cell>
          <cell r="Y502" t="str">
            <v xml:space="preserve">       c.  Discharges</v>
          </cell>
          <cell r="Z502">
            <v>0</v>
          </cell>
          <cell r="AA502">
            <v>749</v>
          </cell>
          <cell r="AB502">
            <v>0</v>
          </cell>
          <cell r="AC502">
            <v>136</v>
          </cell>
          <cell r="AD502">
            <v>0</v>
          </cell>
          <cell r="AE502">
            <v>885</v>
          </cell>
          <cell r="AG502" t="str">
            <v xml:space="preserve">       c.  Discharges</v>
          </cell>
          <cell r="AH502">
            <v>0</v>
          </cell>
          <cell r="AI502">
            <v>119</v>
          </cell>
          <cell r="AJ502">
            <v>0</v>
          </cell>
          <cell r="AK502">
            <v>28</v>
          </cell>
          <cell r="AL502">
            <v>0</v>
          </cell>
          <cell r="AM502">
            <v>147</v>
          </cell>
          <cell r="AO502" t="str">
            <v xml:space="preserve">       c.  Discharges</v>
          </cell>
          <cell r="AP502">
            <v>0</v>
          </cell>
          <cell r="AQ502">
            <v>31</v>
          </cell>
          <cell r="AR502">
            <v>0</v>
          </cell>
          <cell r="AS502">
            <v>7</v>
          </cell>
          <cell r="AT502">
            <v>0</v>
          </cell>
          <cell r="AU502">
            <v>38</v>
          </cell>
          <cell r="AW502" t="str">
            <v xml:space="preserve">       c.  Discharges</v>
          </cell>
          <cell r="AX502">
            <v>0</v>
          </cell>
          <cell r="AY502">
            <v>113</v>
          </cell>
          <cell r="AZ502">
            <v>0</v>
          </cell>
          <cell r="BA502">
            <v>13</v>
          </cell>
          <cell r="BB502">
            <v>0</v>
          </cell>
          <cell r="BC502">
            <v>126</v>
          </cell>
        </row>
        <row r="503">
          <cell r="A503" t="str">
            <v xml:space="preserve">       d.  Discharge Days</v>
          </cell>
          <cell r="B503">
            <v>0</v>
          </cell>
          <cell r="C503">
            <v>76</v>
          </cell>
          <cell r="D503">
            <v>0</v>
          </cell>
          <cell r="E503">
            <v>11</v>
          </cell>
          <cell r="F503">
            <v>0</v>
          </cell>
          <cell r="G503">
            <v>87</v>
          </cell>
          <cell r="I503" t="str">
            <v xml:space="preserve">       d.  Discharge Days</v>
          </cell>
          <cell r="J503">
            <v>0</v>
          </cell>
          <cell r="K503">
            <v>131</v>
          </cell>
          <cell r="L503">
            <v>0</v>
          </cell>
          <cell r="M503">
            <v>58</v>
          </cell>
          <cell r="N503">
            <v>0</v>
          </cell>
          <cell r="O503">
            <v>189</v>
          </cell>
          <cell r="Q503" t="str">
            <v xml:space="preserve">       d.  Discharge Days</v>
          </cell>
          <cell r="R503">
            <v>0</v>
          </cell>
          <cell r="S503">
            <v>65</v>
          </cell>
          <cell r="T503">
            <v>0</v>
          </cell>
          <cell r="U503">
            <v>6</v>
          </cell>
          <cell r="V503">
            <v>0</v>
          </cell>
          <cell r="W503">
            <v>71</v>
          </cell>
          <cell r="Y503" t="str">
            <v xml:space="preserve">       d.  Discharge Days</v>
          </cell>
          <cell r="Z503">
            <v>0</v>
          </cell>
          <cell r="AA503">
            <v>3294</v>
          </cell>
          <cell r="AB503">
            <v>0</v>
          </cell>
          <cell r="AC503">
            <v>668</v>
          </cell>
          <cell r="AD503">
            <v>0</v>
          </cell>
          <cell r="AE503">
            <v>3962</v>
          </cell>
          <cell r="AG503" t="str">
            <v xml:space="preserve">       d.  Discharge Days</v>
          </cell>
          <cell r="AH503">
            <v>0</v>
          </cell>
          <cell r="AI503">
            <v>586</v>
          </cell>
          <cell r="AJ503">
            <v>0</v>
          </cell>
          <cell r="AK503">
            <v>142</v>
          </cell>
          <cell r="AL503">
            <v>0</v>
          </cell>
          <cell r="AM503">
            <v>728</v>
          </cell>
          <cell r="AO503" t="str">
            <v xml:space="preserve">       d.  Discharge Days</v>
          </cell>
          <cell r="AP503">
            <v>0</v>
          </cell>
          <cell r="AQ503">
            <v>128</v>
          </cell>
          <cell r="AR503">
            <v>0</v>
          </cell>
          <cell r="AS503">
            <v>33</v>
          </cell>
          <cell r="AT503">
            <v>0</v>
          </cell>
          <cell r="AU503">
            <v>161</v>
          </cell>
          <cell r="AW503" t="str">
            <v xml:space="preserve">       d.  Discharge Days</v>
          </cell>
          <cell r="AX503">
            <v>0</v>
          </cell>
          <cell r="AY503">
            <v>519</v>
          </cell>
          <cell r="AZ503">
            <v>0</v>
          </cell>
          <cell r="BA503">
            <v>48</v>
          </cell>
          <cell r="BB503">
            <v>0</v>
          </cell>
          <cell r="BC503">
            <v>567</v>
          </cell>
        </row>
        <row r="504">
          <cell r="A504" t="str">
            <v xml:space="preserve">       e.  Average Length of Stay</v>
          </cell>
          <cell r="B504">
            <v>0</v>
          </cell>
          <cell r="C504">
            <v>4.2222222222222223</v>
          </cell>
          <cell r="D504">
            <v>0</v>
          </cell>
          <cell r="E504">
            <v>5.5</v>
          </cell>
          <cell r="F504">
            <v>0</v>
          </cell>
          <cell r="G504">
            <v>4.3499999999999996</v>
          </cell>
          <cell r="I504" t="str">
            <v xml:space="preserve">       e.  Average Length of Stay</v>
          </cell>
          <cell r="J504">
            <v>0</v>
          </cell>
          <cell r="K504">
            <v>5.0384615384615383</v>
          </cell>
          <cell r="L504">
            <v>0</v>
          </cell>
          <cell r="M504">
            <v>5.8</v>
          </cell>
          <cell r="N504">
            <v>0</v>
          </cell>
          <cell r="O504">
            <v>5.25</v>
          </cell>
          <cell r="Q504" t="str">
            <v xml:space="preserve">       e.  Average Length of Stay</v>
          </cell>
          <cell r="R504">
            <v>0</v>
          </cell>
          <cell r="S504">
            <v>5</v>
          </cell>
          <cell r="T504">
            <v>0</v>
          </cell>
          <cell r="U504">
            <v>3</v>
          </cell>
          <cell r="V504">
            <v>0</v>
          </cell>
          <cell r="W504">
            <v>4.7333333333333334</v>
          </cell>
          <cell r="Y504" t="str">
            <v xml:space="preserve">       e.  Average Length of Stay</v>
          </cell>
          <cell r="Z504">
            <v>0</v>
          </cell>
          <cell r="AA504">
            <v>4.3978638184245664</v>
          </cell>
          <cell r="AB504">
            <v>0</v>
          </cell>
          <cell r="AC504">
            <v>4.9117647058823533</v>
          </cell>
          <cell r="AD504">
            <v>0</v>
          </cell>
          <cell r="AE504">
            <v>4.4768361581920901</v>
          </cell>
          <cell r="AG504" t="str">
            <v xml:space="preserve">       e.  Average Length of Stay</v>
          </cell>
          <cell r="AH504">
            <v>0</v>
          </cell>
          <cell r="AI504">
            <v>4.9243697478991599</v>
          </cell>
          <cell r="AJ504">
            <v>0</v>
          </cell>
          <cell r="AK504">
            <v>5.0714285714285712</v>
          </cell>
          <cell r="AL504">
            <v>0</v>
          </cell>
          <cell r="AM504">
            <v>4.9523809523809526</v>
          </cell>
          <cell r="AO504" t="str">
            <v xml:space="preserve">       e.  Average Length of Stay</v>
          </cell>
          <cell r="AP504">
            <v>0</v>
          </cell>
          <cell r="AQ504">
            <v>4.129032258064516</v>
          </cell>
          <cell r="AR504">
            <v>0</v>
          </cell>
          <cell r="AS504">
            <v>4.7142857142857144</v>
          </cell>
          <cell r="AT504">
            <v>0</v>
          </cell>
          <cell r="AU504">
            <v>4.2368421052631575</v>
          </cell>
          <cell r="AW504" t="str">
            <v xml:space="preserve">       e.  Average Length of Stay</v>
          </cell>
          <cell r="AX504">
            <v>0</v>
          </cell>
          <cell r="AY504">
            <v>4.5929203539823007</v>
          </cell>
          <cell r="AZ504">
            <v>0</v>
          </cell>
          <cell r="BA504">
            <v>3.6923076923076925</v>
          </cell>
          <cell r="BB504">
            <v>0</v>
          </cell>
          <cell r="BC504">
            <v>4.5</v>
          </cell>
        </row>
        <row r="506">
          <cell r="A506" t="str">
            <v>D.   Emergency Room Visits</v>
          </cell>
          <cell r="B506">
            <v>0</v>
          </cell>
          <cell r="C506">
            <v>8</v>
          </cell>
          <cell r="D506">
            <v>0</v>
          </cell>
          <cell r="E506">
            <v>3</v>
          </cell>
          <cell r="F506">
            <v>0</v>
          </cell>
          <cell r="G506">
            <v>11</v>
          </cell>
          <cell r="I506" t="str">
            <v>D.   Emergency Room Visits</v>
          </cell>
          <cell r="J506">
            <v>0</v>
          </cell>
          <cell r="K506">
            <v>18</v>
          </cell>
          <cell r="L506">
            <v>0</v>
          </cell>
          <cell r="M506">
            <v>10</v>
          </cell>
          <cell r="N506">
            <v>0</v>
          </cell>
          <cell r="O506">
            <v>28</v>
          </cell>
          <cell r="Q506" t="str">
            <v>D.   Emergency Room Visits</v>
          </cell>
          <cell r="R506">
            <v>0</v>
          </cell>
          <cell r="S506">
            <v>9</v>
          </cell>
          <cell r="T506">
            <v>0</v>
          </cell>
          <cell r="U506">
            <v>1</v>
          </cell>
          <cell r="V506">
            <v>0</v>
          </cell>
          <cell r="W506">
            <v>10</v>
          </cell>
          <cell r="Y506" t="str">
            <v>D.   Emergency Room Visits</v>
          </cell>
          <cell r="Z506">
            <v>0</v>
          </cell>
          <cell r="AA506">
            <v>247</v>
          </cell>
          <cell r="AB506">
            <v>0</v>
          </cell>
          <cell r="AC506">
            <v>131</v>
          </cell>
          <cell r="AD506">
            <v>0</v>
          </cell>
          <cell r="AE506">
            <v>378</v>
          </cell>
          <cell r="AG506" t="str">
            <v>D.   Emergency Room Visits</v>
          </cell>
          <cell r="AH506">
            <v>0</v>
          </cell>
          <cell r="AI506">
            <v>102</v>
          </cell>
          <cell r="AJ506">
            <v>0</v>
          </cell>
          <cell r="AK506">
            <v>32</v>
          </cell>
          <cell r="AL506">
            <v>0</v>
          </cell>
          <cell r="AM506">
            <v>134</v>
          </cell>
          <cell r="AO506" t="str">
            <v>D.   Emergency Room Visits</v>
          </cell>
          <cell r="AP506">
            <v>0</v>
          </cell>
          <cell r="AQ506">
            <v>27</v>
          </cell>
          <cell r="AR506">
            <v>0</v>
          </cell>
          <cell r="AS506">
            <v>12</v>
          </cell>
          <cell r="AT506">
            <v>0</v>
          </cell>
          <cell r="AU506">
            <v>39</v>
          </cell>
          <cell r="AW506" t="str">
            <v>D.   Emergency Room Visits</v>
          </cell>
          <cell r="AX506">
            <v>0</v>
          </cell>
          <cell r="AY506">
            <v>43</v>
          </cell>
          <cell r="AZ506">
            <v>0</v>
          </cell>
          <cell r="BA506">
            <v>10</v>
          </cell>
          <cell r="BB506">
            <v>0</v>
          </cell>
          <cell r="BC506">
            <v>53</v>
          </cell>
        </row>
        <row r="510">
          <cell r="A510" t="str">
            <v>Program Contractor Financial Reporting Systems - Report #11A Utilization Data Report by County</v>
          </cell>
          <cell r="I510" t="str">
            <v>Program Contractor Financial Reporting Systems - Report #11A Utilization Data Report by County</v>
          </cell>
          <cell r="Q510" t="str">
            <v>Program Contractor Financial Reporting Systems - Report #11A Utilization Data Report by County</v>
          </cell>
          <cell r="Y510" t="str">
            <v>Program Contractor Financial Reporting Systems - Report #11A Utilization Data Report by County</v>
          </cell>
          <cell r="AG510" t="str">
            <v>Program Contractor Financial Reporting Systems - Report #11A Utilization Data Report by County</v>
          </cell>
          <cell r="AO510" t="str">
            <v>Program Contractor Financial Reporting Systems - Report #11A Utilization Data Report by County</v>
          </cell>
          <cell r="AW510" t="str">
            <v>Program Contractor Financial Reporting Systems - Report #11A Utilization Data Report by County</v>
          </cell>
        </row>
        <row r="512">
          <cell r="A512" t="str">
            <v>Statement for Program Contractor 110049 - Evercare of Arizona, Inc.</v>
          </cell>
          <cell r="F512" t="str">
            <v>County:</v>
          </cell>
          <cell r="G512" t="str">
            <v>Apache</v>
          </cell>
          <cell r="I512" t="str">
            <v>Statement for Program Contractor 110049 - Evercare of Arizona, Inc.</v>
          </cell>
          <cell r="N512" t="str">
            <v>County:</v>
          </cell>
          <cell r="O512" t="str">
            <v>Coconino</v>
          </cell>
          <cell r="Q512" t="str">
            <v>Statement for Program Contractor 110049 - Evercare of Arizona, Inc.</v>
          </cell>
          <cell r="V512" t="str">
            <v>County:</v>
          </cell>
          <cell r="W512" t="str">
            <v>La Paz</v>
          </cell>
          <cell r="Y512" t="str">
            <v>Statement for Program Contractor 110049 - Evercare of Arizona, Inc.</v>
          </cell>
          <cell r="AD512" t="str">
            <v>County:</v>
          </cell>
          <cell r="AE512" t="str">
            <v>Maricopa</v>
          </cell>
          <cell r="AG512" t="str">
            <v>Statement for Program Contractor 110049 - Evercare of Arizona, Inc.</v>
          </cell>
          <cell r="AL512" t="str">
            <v>County:</v>
          </cell>
          <cell r="AM512" t="str">
            <v>Mohave</v>
          </cell>
          <cell r="AO512" t="str">
            <v>Statement for Program Contractor 110049 - Evercare of Arizona, Inc.</v>
          </cell>
          <cell r="AT512" t="str">
            <v>County:</v>
          </cell>
          <cell r="AU512" t="str">
            <v>Navajo</v>
          </cell>
          <cell r="AW512" t="str">
            <v>Statement for Program Contractor 110049 - Evercare of Arizona, Inc.</v>
          </cell>
          <cell r="BB512" t="str">
            <v>County:</v>
          </cell>
          <cell r="BC512" t="str">
            <v>Yuma</v>
          </cell>
        </row>
        <row r="514">
          <cell r="A514" t="str">
            <v>For the Month ending 9/30/2006 in the Fiscal Year ending 9/30/2006</v>
          </cell>
          <cell r="F514" t="str">
            <v>Page 3 of 21</v>
          </cell>
          <cell r="I514" t="str">
            <v>For the Month ending 9/30/2006 in the Fiscal Year ending 9/30/2006</v>
          </cell>
          <cell r="N514" t="str">
            <v>Page 6 of 21</v>
          </cell>
          <cell r="Q514" t="str">
            <v>For the Month ending 9/30/2006 in the Fiscal Year ending 9/30/2006</v>
          </cell>
          <cell r="V514" t="str">
            <v>Page 9 of 21</v>
          </cell>
          <cell r="Y514" t="str">
            <v>For the Month ending 9/30/2006 in the Fiscal Year ending 9/30/2006</v>
          </cell>
          <cell r="AD514" t="str">
            <v>Page 12 of 21</v>
          </cell>
          <cell r="AG514" t="str">
            <v>For the Month ending 9/30/2006 in the Fiscal Year ending 9/30/2006</v>
          </cell>
          <cell r="AL514" t="str">
            <v>Page 15 of 21</v>
          </cell>
          <cell r="AO514" t="str">
            <v>For the Month ending 9/30/2006 in the Fiscal Year ending 9/30/2006</v>
          </cell>
          <cell r="AT514" t="str">
            <v>Page 18 of 21</v>
          </cell>
          <cell r="AW514" t="str">
            <v>For the Month ending 9/30/2006 in the Fiscal Year ending 9/30/2006</v>
          </cell>
          <cell r="BB514" t="str">
            <v>Page 21 of 21</v>
          </cell>
        </row>
        <row r="517">
          <cell r="A517" t="str">
            <v>Utilization Data Report by County</v>
          </cell>
          <cell r="I517" t="str">
            <v>Utilization Data Report by County</v>
          </cell>
          <cell r="Q517" t="str">
            <v>Utilization Data Report by County</v>
          </cell>
          <cell r="Y517" t="str">
            <v>Utilization Data Report by County</v>
          </cell>
          <cell r="AG517" t="str">
            <v>Utilization Data Report by County</v>
          </cell>
          <cell r="AO517" t="str">
            <v>Utilization Data Report by County</v>
          </cell>
          <cell r="AW517" t="str">
            <v>Utilization Data Report by County</v>
          </cell>
        </row>
        <row r="519">
          <cell r="B519" t="str">
            <v>MEDICARE</v>
          </cell>
          <cell r="D519" t="str">
            <v>NON-MEDICARE</v>
          </cell>
          <cell r="F519" t="str">
            <v>TOTAL</v>
          </cell>
          <cell r="J519" t="str">
            <v>MEDICARE</v>
          </cell>
          <cell r="L519" t="str">
            <v>NON-MEDICARE</v>
          </cell>
          <cell r="N519" t="str">
            <v>TOTAL</v>
          </cell>
          <cell r="R519" t="str">
            <v>MEDICARE</v>
          </cell>
          <cell r="T519" t="str">
            <v>NON-MEDICARE</v>
          </cell>
          <cell r="V519" t="str">
            <v>TOTAL</v>
          </cell>
          <cell r="Z519" t="str">
            <v>MEDICARE</v>
          </cell>
          <cell r="AB519" t="str">
            <v>NON-MEDICARE</v>
          </cell>
          <cell r="AD519" t="str">
            <v>TOTAL</v>
          </cell>
          <cell r="AH519" t="str">
            <v>MEDICARE</v>
          </cell>
          <cell r="AJ519" t="str">
            <v>NON-MEDICARE</v>
          </cell>
          <cell r="AL519" t="str">
            <v>TOTAL</v>
          </cell>
          <cell r="AP519" t="str">
            <v>MEDICARE</v>
          </cell>
          <cell r="AR519" t="str">
            <v>NON-MEDICARE</v>
          </cell>
          <cell r="AT519" t="str">
            <v>TOTAL</v>
          </cell>
          <cell r="AX519" t="str">
            <v>MEDICARE</v>
          </cell>
          <cell r="AZ519" t="str">
            <v>NON-MEDICARE</v>
          </cell>
          <cell r="BB519" t="str">
            <v>TOTAL</v>
          </cell>
        </row>
        <row r="520">
          <cell r="A520" t="str">
            <v>ITEM DESCRIPTION</v>
          </cell>
          <cell r="B520" t="str">
            <v>Current</v>
          </cell>
          <cell r="D520" t="str">
            <v>Current</v>
          </cell>
          <cell r="F520" t="str">
            <v>Current</v>
          </cell>
          <cell r="I520" t="str">
            <v>ITEM DESCRIPTION</v>
          </cell>
          <cell r="J520" t="str">
            <v>Current</v>
          </cell>
          <cell r="L520" t="str">
            <v>Current</v>
          </cell>
          <cell r="N520" t="str">
            <v>Current</v>
          </cell>
          <cell r="Q520" t="str">
            <v>ITEM DESCRIPTION</v>
          </cell>
          <cell r="R520" t="str">
            <v>Current</v>
          </cell>
          <cell r="T520" t="str">
            <v>Current</v>
          </cell>
          <cell r="V520" t="str">
            <v>Current</v>
          </cell>
          <cell r="Y520" t="str">
            <v>ITEM DESCRIPTION</v>
          </cell>
          <cell r="Z520" t="str">
            <v>Current</v>
          </cell>
          <cell r="AB520" t="str">
            <v>Current</v>
          </cell>
          <cell r="AD520" t="str">
            <v>Current</v>
          </cell>
          <cell r="AG520" t="str">
            <v>ITEM DESCRIPTION</v>
          </cell>
          <cell r="AH520" t="str">
            <v>Current</v>
          </cell>
          <cell r="AJ520" t="str">
            <v>Current</v>
          </cell>
          <cell r="AL520" t="str">
            <v>Current</v>
          </cell>
          <cell r="AO520" t="str">
            <v>ITEM DESCRIPTION</v>
          </cell>
          <cell r="AP520" t="str">
            <v>Current</v>
          </cell>
          <cell r="AR520" t="str">
            <v>Current</v>
          </cell>
          <cell r="AT520" t="str">
            <v>Current</v>
          </cell>
          <cell r="AW520" t="str">
            <v>ITEM DESCRIPTION</v>
          </cell>
          <cell r="AX520" t="str">
            <v>Current</v>
          </cell>
          <cell r="AZ520" t="str">
            <v>Current</v>
          </cell>
          <cell r="BB520" t="str">
            <v>Current</v>
          </cell>
        </row>
        <row r="521">
          <cell r="B521" t="str">
            <v>Period</v>
          </cell>
          <cell r="C521" t="str">
            <v>YTD</v>
          </cell>
          <cell r="D521" t="str">
            <v>Period</v>
          </cell>
          <cell r="E521" t="str">
            <v>YTD</v>
          </cell>
          <cell r="F521" t="str">
            <v>Period</v>
          </cell>
          <cell r="G521" t="str">
            <v>YTD</v>
          </cell>
          <cell r="J521" t="str">
            <v>Period</v>
          </cell>
          <cell r="K521" t="str">
            <v>YTD</v>
          </cell>
          <cell r="L521" t="str">
            <v>Period</v>
          </cell>
          <cell r="M521" t="str">
            <v>YTD</v>
          </cell>
          <cell r="N521" t="str">
            <v>Period</v>
          </cell>
          <cell r="O521" t="str">
            <v>YTD</v>
          </cell>
          <cell r="R521" t="str">
            <v>Period</v>
          </cell>
          <cell r="S521" t="str">
            <v>YTD</v>
          </cell>
          <cell r="T521" t="str">
            <v>Period</v>
          </cell>
          <cell r="U521" t="str">
            <v>YTD</v>
          </cell>
          <cell r="V521" t="str">
            <v>Period</v>
          </cell>
          <cell r="W521" t="str">
            <v>YTD</v>
          </cell>
          <cell r="Z521" t="str">
            <v>Period</v>
          </cell>
          <cell r="AA521" t="str">
            <v>YTD</v>
          </cell>
          <cell r="AB521" t="str">
            <v>Period</v>
          </cell>
          <cell r="AC521" t="str">
            <v>YTD</v>
          </cell>
          <cell r="AD521" t="str">
            <v>Period</v>
          </cell>
          <cell r="AE521" t="str">
            <v>YTD</v>
          </cell>
          <cell r="AH521" t="str">
            <v>Period</v>
          </cell>
          <cell r="AI521" t="str">
            <v>YTD</v>
          </cell>
          <cell r="AJ521" t="str">
            <v>Period</v>
          </cell>
          <cell r="AK521" t="str">
            <v>YTD</v>
          </cell>
          <cell r="AL521" t="str">
            <v>Period</v>
          </cell>
          <cell r="AM521" t="str">
            <v>YTD</v>
          </cell>
          <cell r="AP521" t="str">
            <v>Period</v>
          </cell>
          <cell r="AQ521" t="str">
            <v>YTD</v>
          </cell>
          <cell r="AR521" t="str">
            <v>Period</v>
          </cell>
          <cell r="AS521" t="str">
            <v>YTD</v>
          </cell>
          <cell r="AT521" t="str">
            <v>Period</v>
          </cell>
          <cell r="AU521" t="str">
            <v>YTD</v>
          </cell>
          <cell r="AX521" t="str">
            <v>Period</v>
          </cell>
          <cell r="AY521" t="str">
            <v>YTD</v>
          </cell>
          <cell r="AZ521" t="str">
            <v>Period</v>
          </cell>
          <cell r="BA521" t="str">
            <v>YTD</v>
          </cell>
          <cell r="BB521" t="str">
            <v>Period</v>
          </cell>
          <cell r="BC521" t="str">
            <v>YTD</v>
          </cell>
        </row>
        <row r="522">
          <cell r="A522" t="str">
            <v>A.   Enrollees (At End of Period)</v>
          </cell>
          <cell r="B522">
            <v>0</v>
          </cell>
          <cell r="D522">
            <v>0</v>
          </cell>
          <cell r="F522">
            <v>0</v>
          </cell>
          <cell r="I522" t="str">
            <v>A.   Enrollees (At End of Period)</v>
          </cell>
          <cell r="J522">
            <v>0</v>
          </cell>
          <cell r="L522">
            <v>0</v>
          </cell>
          <cell r="N522">
            <v>0</v>
          </cell>
          <cell r="Q522" t="str">
            <v>A.   Enrollees (At End of Period)</v>
          </cell>
          <cell r="R522">
            <v>0</v>
          </cell>
          <cell r="T522">
            <v>0</v>
          </cell>
          <cell r="V522">
            <v>0</v>
          </cell>
          <cell r="Y522" t="str">
            <v>A.   Enrollees (At End of Period)</v>
          </cell>
          <cell r="Z522">
            <v>0</v>
          </cell>
          <cell r="AB522">
            <v>0</v>
          </cell>
          <cell r="AD522">
            <v>0</v>
          </cell>
          <cell r="AG522" t="str">
            <v>A.   Enrollees (At End of Period)</v>
          </cell>
          <cell r="AH522">
            <v>0</v>
          </cell>
          <cell r="AJ522">
            <v>0</v>
          </cell>
          <cell r="AL522">
            <v>0</v>
          </cell>
          <cell r="AO522" t="str">
            <v>A.   Enrollees (At End of Period)</v>
          </cell>
          <cell r="AP522">
            <v>0</v>
          </cell>
          <cell r="AR522">
            <v>0</v>
          </cell>
          <cell r="AT522">
            <v>0</v>
          </cell>
          <cell r="AW522" t="str">
            <v>A.   Enrollees (At End of Period)</v>
          </cell>
          <cell r="AX522">
            <v>0</v>
          </cell>
          <cell r="AZ522">
            <v>0</v>
          </cell>
          <cell r="BB522">
            <v>0</v>
          </cell>
        </row>
        <row r="524">
          <cell r="A524" t="str">
            <v>B.   Member Months (Unduplicated)</v>
          </cell>
          <cell r="B524">
            <v>0</v>
          </cell>
          <cell r="C524">
            <v>190.88669999999996</v>
          </cell>
          <cell r="D524">
            <v>0</v>
          </cell>
          <cell r="E524">
            <v>54.75</v>
          </cell>
          <cell r="F524">
            <v>0</v>
          </cell>
          <cell r="G524">
            <v>245.63669999999996</v>
          </cell>
          <cell r="I524" t="str">
            <v>B.   Member Months (Unduplicated)</v>
          </cell>
          <cell r="J524">
            <v>0</v>
          </cell>
          <cell r="K524">
            <v>513.7274000000001</v>
          </cell>
          <cell r="L524">
            <v>0</v>
          </cell>
          <cell r="M524">
            <v>110.61330000000001</v>
          </cell>
          <cell r="N524">
            <v>0</v>
          </cell>
          <cell r="O524">
            <v>624.34070000000008</v>
          </cell>
          <cell r="Q524" t="str">
            <v>B.   Member Months (Unduplicated)</v>
          </cell>
          <cell r="R524">
            <v>0</v>
          </cell>
          <cell r="S524">
            <v>222.08120000000002</v>
          </cell>
          <cell r="T524">
            <v>0</v>
          </cell>
          <cell r="U524">
            <v>17.07</v>
          </cell>
          <cell r="V524">
            <v>0</v>
          </cell>
          <cell r="W524">
            <v>239.15120000000002</v>
          </cell>
          <cell r="Y524" t="str">
            <v>B.   Member Months (Unduplicated)</v>
          </cell>
          <cell r="Z524">
            <v>0</v>
          </cell>
          <cell r="AA524">
            <v>13367.081800000002</v>
          </cell>
          <cell r="AB524">
            <v>0</v>
          </cell>
          <cell r="AC524">
            <v>1964.4491000000003</v>
          </cell>
          <cell r="AD524">
            <v>0</v>
          </cell>
          <cell r="AE524">
            <v>15331.530900000002</v>
          </cell>
          <cell r="AG524" t="str">
            <v>B.   Member Months (Unduplicated)</v>
          </cell>
          <cell r="AH524">
            <v>0</v>
          </cell>
          <cell r="AI524">
            <v>2465.0030999999999</v>
          </cell>
          <cell r="AJ524">
            <v>0</v>
          </cell>
          <cell r="AK524">
            <v>338.37329999999997</v>
          </cell>
          <cell r="AL524">
            <v>0</v>
          </cell>
          <cell r="AM524">
            <v>2803.3764000000001</v>
          </cell>
          <cell r="AO524" t="str">
            <v>B.   Member Months (Unduplicated)</v>
          </cell>
          <cell r="AP524">
            <v>0</v>
          </cell>
          <cell r="AQ524">
            <v>588.85000000000014</v>
          </cell>
          <cell r="AR524">
            <v>0</v>
          </cell>
          <cell r="AS524">
            <v>145.74229999999997</v>
          </cell>
          <cell r="AT524">
            <v>0</v>
          </cell>
          <cell r="AU524">
            <v>734.59230000000014</v>
          </cell>
          <cell r="AW524" t="str">
            <v>B.   Member Months (Unduplicated)</v>
          </cell>
          <cell r="AX524">
            <v>0</v>
          </cell>
          <cell r="AY524">
            <v>1674.2218</v>
          </cell>
          <cell r="AZ524">
            <v>0</v>
          </cell>
          <cell r="BA524">
            <v>331.96999999999997</v>
          </cell>
          <cell r="BB524">
            <v>0</v>
          </cell>
          <cell r="BC524">
            <v>2006.1918000000001</v>
          </cell>
        </row>
        <row r="525">
          <cell r="A525" t="str">
            <v xml:space="preserve">   Institutional Member Months Total</v>
          </cell>
          <cell r="B525">
            <v>0</v>
          </cell>
          <cell r="C525">
            <v>15.7</v>
          </cell>
          <cell r="D525">
            <v>0</v>
          </cell>
          <cell r="E525">
            <v>11.14</v>
          </cell>
          <cell r="F525">
            <v>0</v>
          </cell>
          <cell r="G525">
            <v>26.84</v>
          </cell>
          <cell r="I525" t="str">
            <v xml:space="preserve">   Institutional Member Months Total</v>
          </cell>
          <cell r="J525">
            <v>0</v>
          </cell>
          <cell r="K525">
            <v>190.48</v>
          </cell>
          <cell r="L525">
            <v>0</v>
          </cell>
          <cell r="M525">
            <v>12.73</v>
          </cell>
          <cell r="N525">
            <v>0</v>
          </cell>
          <cell r="O525">
            <v>203.20999999999998</v>
          </cell>
          <cell r="Q525" t="str">
            <v xml:space="preserve">   Institutional Member Months Total</v>
          </cell>
          <cell r="R525">
            <v>0</v>
          </cell>
          <cell r="S525">
            <v>122.66999999999999</v>
          </cell>
          <cell r="T525">
            <v>0</v>
          </cell>
          <cell r="U525">
            <v>3</v>
          </cell>
          <cell r="V525">
            <v>0</v>
          </cell>
          <cell r="W525">
            <v>125.66999999999999</v>
          </cell>
          <cell r="Y525" t="str">
            <v xml:space="preserve">   Institutional Member Months Total</v>
          </cell>
          <cell r="Z525">
            <v>0</v>
          </cell>
          <cell r="AA525">
            <v>5378.2800000000007</v>
          </cell>
          <cell r="AB525">
            <v>0</v>
          </cell>
          <cell r="AC525">
            <v>460.42000000000007</v>
          </cell>
          <cell r="AD525">
            <v>0</v>
          </cell>
          <cell r="AE525">
            <v>5838.7000000000007</v>
          </cell>
          <cell r="AG525" t="str">
            <v xml:space="preserve">   Institutional Member Months Total</v>
          </cell>
          <cell r="AH525">
            <v>0</v>
          </cell>
          <cell r="AI525">
            <v>1342.8</v>
          </cell>
          <cell r="AJ525">
            <v>0</v>
          </cell>
          <cell r="AK525">
            <v>92.289999999999992</v>
          </cell>
          <cell r="AL525">
            <v>0</v>
          </cell>
          <cell r="AM525">
            <v>1435.09</v>
          </cell>
          <cell r="AO525" t="str">
            <v xml:space="preserve">   Institutional Member Months Total</v>
          </cell>
          <cell r="AP525">
            <v>0</v>
          </cell>
          <cell r="AQ525">
            <v>111.26</v>
          </cell>
          <cell r="AR525">
            <v>0</v>
          </cell>
          <cell r="AS525">
            <v>25.259999999999998</v>
          </cell>
          <cell r="AT525">
            <v>0</v>
          </cell>
          <cell r="AU525">
            <v>136.52000000000001</v>
          </cell>
          <cell r="AW525" t="str">
            <v xml:space="preserve">   Institutional Member Months Total</v>
          </cell>
          <cell r="AX525">
            <v>0</v>
          </cell>
          <cell r="AY525">
            <v>878.52</v>
          </cell>
          <cell r="AZ525">
            <v>0</v>
          </cell>
          <cell r="BA525">
            <v>113.56</v>
          </cell>
          <cell r="BB525">
            <v>0</v>
          </cell>
          <cell r="BC525">
            <v>992.07999999999993</v>
          </cell>
        </row>
        <row r="526">
          <cell r="A526" t="str">
            <v xml:space="preserve">   1.  Level I</v>
          </cell>
          <cell r="B526">
            <v>0</v>
          </cell>
          <cell r="C526">
            <v>6.81</v>
          </cell>
          <cell r="D526">
            <v>0</v>
          </cell>
          <cell r="E526">
            <v>8.14</v>
          </cell>
          <cell r="F526">
            <v>0</v>
          </cell>
          <cell r="G526">
            <v>14.95</v>
          </cell>
          <cell r="I526" t="str">
            <v xml:space="preserve">   1.  Level I</v>
          </cell>
          <cell r="J526">
            <v>0</v>
          </cell>
          <cell r="K526">
            <v>86.49</v>
          </cell>
          <cell r="L526">
            <v>0</v>
          </cell>
          <cell r="M526">
            <v>8.23</v>
          </cell>
          <cell r="N526">
            <v>0</v>
          </cell>
          <cell r="O526">
            <v>94.72</v>
          </cell>
          <cell r="Q526" t="str">
            <v xml:space="preserve">   1.  Level I</v>
          </cell>
          <cell r="R526">
            <v>0</v>
          </cell>
          <cell r="S526">
            <v>78.349999999999994</v>
          </cell>
          <cell r="T526">
            <v>0</v>
          </cell>
          <cell r="U526">
            <v>0</v>
          </cell>
          <cell r="V526">
            <v>0</v>
          </cell>
          <cell r="W526">
            <v>78.349999999999994</v>
          </cell>
          <cell r="Y526" t="str">
            <v xml:space="preserve">   1.  Level I</v>
          </cell>
          <cell r="Z526">
            <v>0</v>
          </cell>
          <cell r="AA526">
            <v>3650.05</v>
          </cell>
          <cell r="AB526">
            <v>0</v>
          </cell>
          <cell r="AC526">
            <v>288.17</v>
          </cell>
          <cell r="AD526">
            <v>0</v>
          </cell>
          <cell r="AE526">
            <v>3938.2200000000003</v>
          </cell>
          <cell r="AG526" t="str">
            <v xml:space="preserve">   1.  Level I</v>
          </cell>
          <cell r="AH526">
            <v>0</v>
          </cell>
          <cell r="AI526">
            <v>607.04999999999995</v>
          </cell>
          <cell r="AJ526">
            <v>0</v>
          </cell>
          <cell r="AK526">
            <v>46.1</v>
          </cell>
          <cell r="AL526">
            <v>0</v>
          </cell>
          <cell r="AM526">
            <v>653.15</v>
          </cell>
          <cell r="AO526" t="str">
            <v xml:space="preserve">   1.  Level I</v>
          </cell>
          <cell r="AP526">
            <v>0</v>
          </cell>
          <cell r="AQ526">
            <v>64.41</v>
          </cell>
          <cell r="AR526">
            <v>0</v>
          </cell>
          <cell r="AS526">
            <v>22.259999999999998</v>
          </cell>
          <cell r="AT526">
            <v>0</v>
          </cell>
          <cell r="AU526">
            <v>86.669999999999987</v>
          </cell>
          <cell r="AW526" t="str">
            <v xml:space="preserve">   1.  Level I</v>
          </cell>
          <cell r="AX526">
            <v>0</v>
          </cell>
          <cell r="AY526">
            <v>471.98</v>
          </cell>
          <cell r="AZ526">
            <v>0</v>
          </cell>
          <cell r="BA526">
            <v>69.94</v>
          </cell>
          <cell r="BB526">
            <v>0</v>
          </cell>
          <cell r="BC526">
            <v>541.92000000000007</v>
          </cell>
        </row>
        <row r="527">
          <cell r="A527" t="str">
            <v xml:space="preserve">   2.  Level II</v>
          </cell>
          <cell r="B527">
            <v>0</v>
          </cell>
          <cell r="C527">
            <v>6.73</v>
          </cell>
          <cell r="D527">
            <v>0</v>
          </cell>
          <cell r="E527">
            <v>3</v>
          </cell>
          <cell r="F527">
            <v>0</v>
          </cell>
          <cell r="G527">
            <v>9.73</v>
          </cell>
          <cell r="I527" t="str">
            <v xml:space="preserve">   2.  Level II</v>
          </cell>
          <cell r="J527">
            <v>0</v>
          </cell>
          <cell r="K527">
            <v>87.8</v>
          </cell>
          <cell r="L527">
            <v>0</v>
          </cell>
          <cell r="M527">
            <v>3</v>
          </cell>
          <cell r="N527">
            <v>0</v>
          </cell>
          <cell r="O527">
            <v>90.8</v>
          </cell>
          <cell r="Q527" t="str">
            <v xml:space="preserve">   2.  Level II</v>
          </cell>
          <cell r="R527">
            <v>0</v>
          </cell>
          <cell r="S527">
            <v>37.57</v>
          </cell>
          <cell r="T527">
            <v>0</v>
          </cell>
          <cell r="U527">
            <v>3</v>
          </cell>
          <cell r="V527">
            <v>0</v>
          </cell>
          <cell r="W527">
            <v>40.57</v>
          </cell>
          <cell r="Y527" t="str">
            <v xml:space="preserve">   2.  Level II</v>
          </cell>
          <cell r="Z527">
            <v>0</v>
          </cell>
          <cell r="AA527">
            <v>1526.49</v>
          </cell>
          <cell r="AB527">
            <v>0</v>
          </cell>
          <cell r="AC527">
            <v>127.19</v>
          </cell>
          <cell r="AD527">
            <v>0</v>
          </cell>
          <cell r="AE527">
            <v>1653.68</v>
          </cell>
          <cell r="AG527" t="str">
            <v xml:space="preserve">   2.  Level II</v>
          </cell>
          <cell r="AH527">
            <v>0</v>
          </cell>
          <cell r="AI527">
            <v>602.55999999999995</v>
          </cell>
          <cell r="AJ527">
            <v>0</v>
          </cell>
          <cell r="AK527">
            <v>28.279999999999998</v>
          </cell>
          <cell r="AL527">
            <v>0</v>
          </cell>
          <cell r="AM527">
            <v>630.83999999999992</v>
          </cell>
          <cell r="AO527" t="str">
            <v xml:space="preserve">   2.  Level II</v>
          </cell>
          <cell r="AP527">
            <v>0</v>
          </cell>
          <cell r="AQ527">
            <v>39.450000000000003</v>
          </cell>
          <cell r="AR527">
            <v>0</v>
          </cell>
          <cell r="AS527">
            <v>3</v>
          </cell>
          <cell r="AT527">
            <v>0</v>
          </cell>
          <cell r="AU527">
            <v>42.45</v>
          </cell>
          <cell r="AW527" t="str">
            <v xml:space="preserve">   2.  Level II</v>
          </cell>
          <cell r="AX527">
            <v>0</v>
          </cell>
          <cell r="AY527">
            <v>357.26</v>
          </cell>
          <cell r="AZ527">
            <v>0</v>
          </cell>
          <cell r="BA527">
            <v>27.619999999999997</v>
          </cell>
          <cell r="BB527">
            <v>0</v>
          </cell>
          <cell r="BC527">
            <v>384.88</v>
          </cell>
        </row>
        <row r="528">
          <cell r="A528" t="str">
            <v xml:space="preserve">   3.  Level III</v>
          </cell>
          <cell r="B528">
            <v>0</v>
          </cell>
          <cell r="C528">
            <v>2.16</v>
          </cell>
          <cell r="D528">
            <v>0</v>
          </cell>
          <cell r="E528">
            <v>0</v>
          </cell>
          <cell r="F528">
            <v>0</v>
          </cell>
          <cell r="G528">
            <v>2.16</v>
          </cell>
          <cell r="I528" t="str">
            <v xml:space="preserve">   3.  Level III</v>
          </cell>
          <cell r="J528">
            <v>0</v>
          </cell>
          <cell r="K528">
            <v>16.190000000000001</v>
          </cell>
          <cell r="L528">
            <v>0</v>
          </cell>
          <cell r="M528">
            <v>1.5</v>
          </cell>
          <cell r="N528">
            <v>0</v>
          </cell>
          <cell r="O528">
            <v>17.690000000000001</v>
          </cell>
          <cell r="Q528" t="str">
            <v xml:space="preserve">   3.  Level III</v>
          </cell>
          <cell r="R528">
            <v>0</v>
          </cell>
          <cell r="S528">
            <v>6.75</v>
          </cell>
          <cell r="T528">
            <v>0</v>
          </cell>
          <cell r="U528">
            <v>0</v>
          </cell>
          <cell r="V528">
            <v>0</v>
          </cell>
          <cell r="W528">
            <v>6.75</v>
          </cell>
          <cell r="Y528" t="str">
            <v xml:space="preserve">   3.  Level III</v>
          </cell>
          <cell r="Z528">
            <v>0</v>
          </cell>
          <cell r="AA528">
            <v>200.77</v>
          </cell>
          <cell r="AB528">
            <v>0</v>
          </cell>
          <cell r="AC528">
            <v>31.090000000000003</v>
          </cell>
          <cell r="AD528">
            <v>0</v>
          </cell>
          <cell r="AE528">
            <v>231.86</v>
          </cell>
          <cell r="AG528" t="str">
            <v xml:space="preserve">   3.  Level III</v>
          </cell>
          <cell r="AH528">
            <v>0</v>
          </cell>
          <cell r="AI528">
            <v>133.19</v>
          </cell>
          <cell r="AJ528">
            <v>0</v>
          </cell>
          <cell r="AK528">
            <v>17.91</v>
          </cell>
          <cell r="AL528">
            <v>0</v>
          </cell>
          <cell r="AM528">
            <v>151.1</v>
          </cell>
          <cell r="AO528" t="str">
            <v xml:space="preserve">   3.  Level III</v>
          </cell>
          <cell r="AP528">
            <v>0</v>
          </cell>
          <cell r="AQ528">
            <v>0.4</v>
          </cell>
          <cell r="AR528">
            <v>0</v>
          </cell>
          <cell r="AS528">
            <v>0</v>
          </cell>
          <cell r="AT528">
            <v>0</v>
          </cell>
          <cell r="AU528">
            <v>0.4</v>
          </cell>
          <cell r="AW528" t="str">
            <v xml:space="preserve">   3.  Level III</v>
          </cell>
          <cell r="AX528">
            <v>0</v>
          </cell>
          <cell r="AY528">
            <v>49.28</v>
          </cell>
          <cell r="AZ528">
            <v>0</v>
          </cell>
          <cell r="BA528">
            <v>16</v>
          </cell>
          <cell r="BB528">
            <v>0</v>
          </cell>
          <cell r="BC528">
            <v>65.28</v>
          </cell>
        </row>
        <row r="529">
          <cell r="A529" t="str">
            <v xml:space="preserve">   4.  Level IV</v>
          </cell>
          <cell r="B529">
            <v>0</v>
          </cell>
          <cell r="C529">
            <v>0</v>
          </cell>
          <cell r="D529">
            <v>0</v>
          </cell>
          <cell r="E529">
            <v>0</v>
          </cell>
          <cell r="F529">
            <v>0</v>
          </cell>
          <cell r="G529">
            <v>0</v>
          </cell>
          <cell r="I529" t="str">
            <v xml:space="preserve">   4.  Level IV</v>
          </cell>
          <cell r="J529">
            <v>0</v>
          </cell>
          <cell r="K529">
            <v>0</v>
          </cell>
          <cell r="L529">
            <v>0</v>
          </cell>
          <cell r="M529">
            <v>0</v>
          </cell>
          <cell r="N529">
            <v>0</v>
          </cell>
          <cell r="O529">
            <v>0</v>
          </cell>
          <cell r="Q529" t="str">
            <v xml:space="preserve">   4.  Level IV</v>
          </cell>
          <cell r="R529">
            <v>0</v>
          </cell>
          <cell r="S529">
            <v>0</v>
          </cell>
          <cell r="T529">
            <v>0</v>
          </cell>
          <cell r="U529">
            <v>0</v>
          </cell>
          <cell r="V529">
            <v>0</v>
          </cell>
          <cell r="W529">
            <v>0</v>
          </cell>
          <cell r="Y529" t="str">
            <v xml:space="preserve">   4.  Level IV</v>
          </cell>
          <cell r="Z529">
            <v>0</v>
          </cell>
          <cell r="AA529">
            <v>0.97</v>
          </cell>
          <cell r="AB529">
            <v>0</v>
          </cell>
          <cell r="AC529">
            <v>13.969999999999999</v>
          </cell>
          <cell r="AD529">
            <v>0</v>
          </cell>
          <cell r="AE529">
            <v>14.94</v>
          </cell>
          <cell r="AG529" t="str">
            <v xml:space="preserve">   4.  Level IV</v>
          </cell>
          <cell r="AH529">
            <v>0</v>
          </cell>
          <cell r="AI529">
            <v>0</v>
          </cell>
          <cell r="AJ529">
            <v>0</v>
          </cell>
          <cell r="AK529">
            <v>0</v>
          </cell>
          <cell r="AL529">
            <v>0</v>
          </cell>
          <cell r="AM529">
            <v>0</v>
          </cell>
          <cell r="AO529" t="str">
            <v xml:space="preserve">   4.  Level IV</v>
          </cell>
          <cell r="AP529">
            <v>0</v>
          </cell>
          <cell r="AQ529">
            <v>7</v>
          </cell>
          <cell r="AR529">
            <v>0</v>
          </cell>
          <cell r="AS529">
            <v>0</v>
          </cell>
          <cell r="AT529">
            <v>0</v>
          </cell>
          <cell r="AU529">
            <v>7</v>
          </cell>
          <cell r="AW529" t="str">
            <v xml:space="preserve">   4.  Level IV</v>
          </cell>
          <cell r="AX529">
            <v>0</v>
          </cell>
          <cell r="AY529">
            <v>0</v>
          </cell>
          <cell r="AZ529">
            <v>0</v>
          </cell>
          <cell r="BA529">
            <v>0</v>
          </cell>
          <cell r="BB529">
            <v>0</v>
          </cell>
          <cell r="BC529">
            <v>0</v>
          </cell>
        </row>
        <row r="530">
          <cell r="A530" t="str">
            <v xml:space="preserve">   5.</v>
          </cell>
          <cell r="I530" t="str">
            <v xml:space="preserve">   5.</v>
          </cell>
          <cell r="Q530" t="str">
            <v xml:space="preserve">   5.</v>
          </cell>
          <cell r="Y530" t="str">
            <v xml:space="preserve">   5.</v>
          </cell>
          <cell r="AG530" t="str">
            <v xml:space="preserve">   5.</v>
          </cell>
          <cell r="AO530" t="str">
            <v xml:space="preserve">   5.</v>
          </cell>
          <cell r="AW530" t="str">
            <v xml:space="preserve">   5.</v>
          </cell>
        </row>
        <row r="531">
          <cell r="A531" t="str">
            <v xml:space="preserve">   6.</v>
          </cell>
          <cell r="I531" t="str">
            <v xml:space="preserve">   6.</v>
          </cell>
          <cell r="Q531" t="str">
            <v xml:space="preserve">   6.</v>
          </cell>
          <cell r="Y531" t="str">
            <v xml:space="preserve">   6.</v>
          </cell>
          <cell r="AG531" t="str">
            <v xml:space="preserve">   6.</v>
          </cell>
          <cell r="AO531" t="str">
            <v xml:space="preserve">   6.</v>
          </cell>
          <cell r="AW531" t="str">
            <v xml:space="preserve">   6.</v>
          </cell>
        </row>
        <row r="532">
          <cell r="A532" t="str">
            <v xml:space="preserve">   7.  Home and Community Based Services (HCBS) Total</v>
          </cell>
          <cell r="B532">
            <v>0</v>
          </cell>
          <cell r="C532">
            <v>193.30999999999997</v>
          </cell>
          <cell r="D532">
            <v>0</v>
          </cell>
          <cell r="E532">
            <v>50.61</v>
          </cell>
          <cell r="F532">
            <v>0</v>
          </cell>
          <cell r="G532">
            <v>243.91999999999996</v>
          </cell>
          <cell r="I532" t="str">
            <v xml:space="preserve">   7.  Home and Community Based Services (HCBS) Total</v>
          </cell>
          <cell r="J532">
            <v>0</v>
          </cell>
          <cell r="K532">
            <v>338.48</v>
          </cell>
          <cell r="L532">
            <v>0</v>
          </cell>
          <cell r="M532">
            <v>88.35</v>
          </cell>
          <cell r="N532">
            <v>0</v>
          </cell>
          <cell r="O532">
            <v>426.83000000000004</v>
          </cell>
          <cell r="Q532" t="str">
            <v xml:space="preserve">   7.  Home and Community Based Services (HCBS) Total</v>
          </cell>
          <cell r="R532">
            <v>0</v>
          </cell>
          <cell r="S532">
            <v>95.550000000000011</v>
          </cell>
          <cell r="T532">
            <v>0</v>
          </cell>
          <cell r="U532">
            <v>14.07</v>
          </cell>
          <cell r="V532">
            <v>0</v>
          </cell>
          <cell r="W532">
            <v>109.62</v>
          </cell>
          <cell r="Y532" t="str">
            <v xml:space="preserve">   7.  Home and Community Based Services (HCBS) Total</v>
          </cell>
          <cell r="Z532">
            <v>0</v>
          </cell>
          <cell r="AA532">
            <v>8554.57</v>
          </cell>
          <cell r="AB532">
            <v>0</v>
          </cell>
          <cell r="AC532">
            <v>1510.57</v>
          </cell>
          <cell r="AD532">
            <v>0</v>
          </cell>
          <cell r="AE532">
            <v>10065.14</v>
          </cell>
          <cell r="AG532" t="str">
            <v xml:space="preserve">   7.  Home and Community Based Services (HCBS) Total</v>
          </cell>
          <cell r="AH532">
            <v>0</v>
          </cell>
          <cell r="AI532">
            <v>1325.78</v>
          </cell>
          <cell r="AJ532">
            <v>0</v>
          </cell>
          <cell r="AK532">
            <v>251.34</v>
          </cell>
          <cell r="AL532">
            <v>0</v>
          </cell>
          <cell r="AM532">
            <v>1577.12</v>
          </cell>
          <cell r="AO532" t="str">
            <v xml:space="preserve">   7.  Home and Community Based Services (HCBS) Total</v>
          </cell>
          <cell r="AP532">
            <v>0</v>
          </cell>
          <cell r="AQ532">
            <v>479.69000000000005</v>
          </cell>
          <cell r="AR532">
            <v>0</v>
          </cell>
          <cell r="AS532">
            <v>135.70999999999998</v>
          </cell>
          <cell r="AT532">
            <v>0</v>
          </cell>
          <cell r="AU532">
            <v>615.40000000000009</v>
          </cell>
          <cell r="AW532" t="str">
            <v xml:space="preserve">   7.  Home and Community Based Services (HCBS) Total</v>
          </cell>
          <cell r="AX532">
            <v>0</v>
          </cell>
          <cell r="AY532">
            <v>1021.8000000000001</v>
          </cell>
          <cell r="AZ532">
            <v>0</v>
          </cell>
          <cell r="BA532">
            <v>258.95</v>
          </cell>
          <cell r="BB532">
            <v>0</v>
          </cell>
          <cell r="BC532">
            <v>1280.75</v>
          </cell>
        </row>
        <row r="533">
          <cell r="A533" t="str">
            <v xml:space="preserve">       a.  Adult Foster Care</v>
          </cell>
          <cell r="B533">
            <v>0</v>
          </cell>
          <cell r="C533">
            <v>0</v>
          </cell>
          <cell r="D533">
            <v>0</v>
          </cell>
          <cell r="E533">
            <v>0</v>
          </cell>
          <cell r="F533">
            <v>0</v>
          </cell>
          <cell r="G533">
            <v>0</v>
          </cell>
          <cell r="I533" t="str">
            <v xml:space="preserve">       a.  Adult Foster Care</v>
          </cell>
          <cell r="J533">
            <v>0</v>
          </cell>
          <cell r="K533">
            <v>0</v>
          </cell>
          <cell r="L533">
            <v>0</v>
          </cell>
          <cell r="M533">
            <v>1.17</v>
          </cell>
          <cell r="N533">
            <v>0</v>
          </cell>
          <cell r="O533">
            <v>1.17</v>
          </cell>
          <cell r="Q533" t="str">
            <v xml:space="preserve">       a.  Adult Foster Care</v>
          </cell>
          <cell r="R533">
            <v>0</v>
          </cell>
          <cell r="S533">
            <v>0</v>
          </cell>
          <cell r="T533">
            <v>0</v>
          </cell>
          <cell r="U533">
            <v>0</v>
          </cell>
          <cell r="V533">
            <v>0</v>
          </cell>
          <cell r="W533">
            <v>0</v>
          </cell>
          <cell r="Y533" t="str">
            <v xml:space="preserve">       a.  Adult Foster Care</v>
          </cell>
          <cell r="Z533">
            <v>0</v>
          </cell>
          <cell r="AA533">
            <v>161.51</v>
          </cell>
          <cell r="AB533">
            <v>0</v>
          </cell>
          <cell r="AC533">
            <v>26.04</v>
          </cell>
          <cell r="AD533">
            <v>0</v>
          </cell>
          <cell r="AE533">
            <v>187.54999999999998</v>
          </cell>
          <cell r="AG533" t="str">
            <v xml:space="preserve">       a.  Adult Foster Care</v>
          </cell>
          <cell r="AH533">
            <v>0</v>
          </cell>
          <cell r="AI533">
            <v>12.9</v>
          </cell>
          <cell r="AJ533">
            <v>0</v>
          </cell>
          <cell r="AK533">
            <v>5.73</v>
          </cell>
          <cell r="AL533">
            <v>0</v>
          </cell>
          <cell r="AM533">
            <v>18.630000000000003</v>
          </cell>
          <cell r="AO533" t="str">
            <v xml:space="preserve">       a.  Adult Foster Care</v>
          </cell>
          <cell r="AP533">
            <v>0</v>
          </cell>
          <cell r="AQ533">
            <v>0</v>
          </cell>
          <cell r="AR533">
            <v>0</v>
          </cell>
          <cell r="AS533">
            <v>0</v>
          </cell>
          <cell r="AT533">
            <v>0</v>
          </cell>
          <cell r="AU533">
            <v>0</v>
          </cell>
          <cell r="AW533" t="str">
            <v xml:space="preserve">       a.  Adult Foster Care</v>
          </cell>
          <cell r="AX533">
            <v>0</v>
          </cell>
          <cell r="AY533">
            <v>4</v>
          </cell>
          <cell r="AZ533">
            <v>0</v>
          </cell>
          <cell r="BA533">
            <v>0</v>
          </cell>
          <cell r="BB533">
            <v>0</v>
          </cell>
          <cell r="BC533">
            <v>4</v>
          </cell>
        </row>
        <row r="534">
          <cell r="A534" t="str">
            <v xml:space="preserve">       b.  Assisted Living Home (Adult Care Home)</v>
          </cell>
          <cell r="B534">
            <v>0</v>
          </cell>
          <cell r="C534">
            <v>44.36</v>
          </cell>
          <cell r="D534">
            <v>0</v>
          </cell>
          <cell r="E534">
            <v>1.66</v>
          </cell>
          <cell r="F534">
            <v>0</v>
          </cell>
          <cell r="G534">
            <v>46.019999999999996</v>
          </cell>
          <cell r="I534" t="str">
            <v xml:space="preserve">       b.  Assisted Living Home (Adult Care Home)</v>
          </cell>
          <cell r="J534">
            <v>0</v>
          </cell>
          <cell r="K534">
            <v>19.060000000000002</v>
          </cell>
          <cell r="L534">
            <v>0</v>
          </cell>
          <cell r="M534">
            <v>4.7</v>
          </cell>
          <cell r="N534">
            <v>0</v>
          </cell>
          <cell r="O534">
            <v>23.76</v>
          </cell>
          <cell r="Q534" t="str">
            <v xml:space="preserve">       b.  Assisted Living Home (Adult Care Home)</v>
          </cell>
          <cell r="R534">
            <v>0</v>
          </cell>
          <cell r="S534">
            <v>0</v>
          </cell>
          <cell r="T534">
            <v>0</v>
          </cell>
          <cell r="U534">
            <v>0</v>
          </cell>
          <cell r="V534">
            <v>0</v>
          </cell>
          <cell r="W534">
            <v>0</v>
          </cell>
          <cell r="Y534" t="str">
            <v xml:space="preserve">       b.  Assisted Living Home (Adult Care Home)</v>
          </cell>
          <cell r="Z534">
            <v>0</v>
          </cell>
          <cell r="AA534">
            <v>1894.61</v>
          </cell>
          <cell r="AB534">
            <v>0</v>
          </cell>
          <cell r="AC534">
            <v>120.88</v>
          </cell>
          <cell r="AD534">
            <v>0</v>
          </cell>
          <cell r="AE534">
            <v>2015.4899999999998</v>
          </cell>
          <cell r="AG534" t="str">
            <v xml:space="preserve">       b.  Assisted Living Home (Adult Care Home)</v>
          </cell>
          <cell r="AH534">
            <v>0</v>
          </cell>
          <cell r="AI534">
            <v>30.16</v>
          </cell>
          <cell r="AJ534">
            <v>0</v>
          </cell>
          <cell r="AK534">
            <v>10.3</v>
          </cell>
          <cell r="AL534">
            <v>0</v>
          </cell>
          <cell r="AM534">
            <v>40.46</v>
          </cell>
          <cell r="AO534" t="str">
            <v xml:space="preserve">       b.  Assisted Living Home (Adult Care Home)</v>
          </cell>
          <cell r="AP534">
            <v>0</v>
          </cell>
          <cell r="AQ534">
            <v>84.77</v>
          </cell>
          <cell r="AR534">
            <v>0</v>
          </cell>
          <cell r="AS534">
            <v>12</v>
          </cell>
          <cell r="AT534">
            <v>0</v>
          </cell>
          <cell r="AU534">
            <v>96.77</v>
          </cell>
          <cell r="AW534" t="str">
            <v xml:space="preserve">       b.  Assisted Living Home (Adult Care Home)</v>
          </cell>
          <cell r="AX534">
            <v>0</v>
          </cell>
          <cell r="AY534">
            <v>114.64999999999999</v>
          </cell>
          <cell r="AZ534">
            <v>0</v>
          </cell>
          <cell r="BA534">
            <v>10.27</v>
          </cell>
          <cell r="BB534">
            <v>0</v>
          </cell>
          <cell r="BC534">
            <v>124.91999999999999</v>
          </cell>
        </row>
        <row r="535">
          <cell r="A535" t="str">
            <v xml:space="preserve">       c.  Group Home (DD)</v>
          </cell>
          <cell r="B535">
            <v>0</v>
          </cell>
          <cell r="C535">
            <v>0</v>
          </cell>
          <cell r="D535">
            <v>0</v>
          </cell>
          <cell r="E535">
            <v>0</v>
          </cell>
          <cell r="F535">
            <v>0</v>
          </cell>
          <cell r="G535">
            <v>0</v>
          </cell>
          <cell r="I535" t="str">
            <v xml:space="preserve">       c.  Group Home (DD)</v>
          </cell>
          <cell r="J535">
            <v>0</v>
          </cell>
          <cell r="K535">
            <v>0</v>
          </cell>
          <cell r="L535">
            <v>0</v>
          </cell>
          <cell r="M535">
            <v>0</v>
          </cell>
          <cell r="N535">
            <v>0</v>
          </cell>
          <cell r="O535">
            <v>0</v>
          </cell>
          <cell r="Q535" t="str">
            <v xml:space="preserve">       c.  Group Home (DD)</v>
          </cell>
          <cell r="R535">
            <v>0</v>
          </cell>
          <cell r="S535">
            <v>0</v>
          </cell>
          <cell r="T535">
            <v>0</v>
          </cell>
          <cell r="U535">
            <v>0</v>
          </cell>
          <cell r="V535">
            <v>0</v>
          </cell>
          <cell r="W535">
            <v>0</v>
          </cell>
          <cell r="Y535" t="str">
            <v xml:space="preserve">       c.  Group Home (DD)</v>
          </cell>
          <cell r="Z535">
            <v>0</v>
          </cell>
          <cell r="AA535">
            <v>4.0299999999999994</v>
          </cell>
          <cell r="AB535">
            <v>0</v>
          </cell>
          <cell r="AC535">
            <v>0</v>
          </cell>
          <cell r="AD535">
            <v>0</v>
          </cell>
          <cell r="AE535">
            <v>4.0299999999999994</v>
          </cell>
          <cell r="AG535" t="str">
            <v xml:space="preserve">       c.  Group Home (DD)</v>
          </cell>
          <cell r="AH535">
            <v>0</v>
          </cell>
          <cell r="AI535">
            <v>0</v>
          </cell>
          <cell r="AJ535">
            <v>0</v>
          </cell>
          <cell r="AK535">
            <v>0</v>
          </cell>
          <cell r="AL535">
            <v>0</v>
          </cell>
          <cell r="AM535">
            <v>0</v>
          </cell>
          <cell r="AO535" t="str">
            <v xml:space="preserve">       c.  Group Home (DD)</v>
          </cell>
          <cell r="AP535">
            <v>0</v>
          </cell>
          <cell r="AQ535">
            <v>0</v>
          </cell>
          <cell r="AR535">
            <v>0</v>
          </cell>
          <cell r="AS535">
            <v>0</v>
          </cell>
          <cell r="AT535">
            <v>0</v>
          </cell>
          <cell r="AU535">
            <v>0</v>
          </cell>
          <cell r="AW535" t="str">
            <v xml:space="preserve">       c.  Group Home (DD)</v>
          </cell>
          <cell r="AX535">
            <v>0</v>
          </cell>
          <cell r="AY535">
            <v>0</v>
          </cell>
          <cell r="AZ535">
            <v>0</v>
          </cell>
          <cell r="BA535">
            <v>0</v>
          </cell>
          <cell r="BB535">
            <v>0</v>
          </cell>
          <cell r="BC535">
            <v>0</v>
          </cell>
        </row>
        <row r="536">
          <cell r="A536" t="str">
            <v xml:space="preserve">       d.  Individual Home</v>
          </cell>
          <cell r="B536">
            <v>0</v>
          </cell>
          <cell r="C536">
            <v>79.72999999999999</v>
          </cell>
          <cell r="D536">
            <v>0</v>
          </cell>
          <cell r="E536">
            <v>36.950000000000003</v>
          </cell>
          <cell r="F536">
            <v>0</v>
          </cell>
          <cell r="G536">
            <v>116.67999999999999</v>
          </cell>
          <cell r="I536" t="str">
            <v xml:space="preserve">       d.  Individual Home</v>
          </cell>
          <cell r="J536">
            <v>0</v>
          </cell>
          <cell r="K536">
            <v>104.99</v>
          </cell>
          <cell r="L536">
            <v>0</v>
          </cell>
          <cell r="M536">
            <v>45.69</v>
          </cell>
          <cell r="N536">
            <v>0</v>
          </cell>
          <cell r="O536">
            <v>150.68</v>
          </cell>
          <cell r="Q536" t="str">
            <v xml:space="preserve">       d.  Individual Home</v>
          </cell>
          <cell r="R536">
            <v>0</v>
          </cell>
          <cell r="S536">
            <v>69.900000000000006</v>
          </cell>
          <cell r="T536">
            <v>0</v>
          </cell>
          <cell r="U536">
            <v>3</v>
          </cell>
          <cell r="V536">
            <v>0</v>
          </cell>
          <cell r="W536">
            <v>72.900000000000006</v>
          </cell>
          <cell r="Y536" t="str">
            <v xml:space="preserve">       d.  Individual Home</v>
          </cell>
          <cell r="Z536">
            <v>0</v>
          </cell>
          <cell r="AA536">
            <v>1965.87</v>
          </cell>
          <cell r="AB536">
            <v>0</v>
          </cell>
          <cell r="AC536">
            <v>726.05</v>
          </cell>
          <cell r="AD536">
            <v>0</v>
          </cell>
          <cell r="AE536">
            <v>2691.92</v>
          </cell>
          <cell r="AG536" t="str">
            <v xml:space="preserve">       d.  Individual Home</v>
          </cell>
          <cell r="AH536">
            <v>0</v>
          </cell>
          <cell r="AI536">
            <v>534.37</v>
          </cell>
          <cell r="AJ536">
            <v>0</v>
          </cell>
          <cell r="AK536">
            <v>126.09</v>
          </cell>
          <cell r="AL536">
            <v>0</v>
          </cell>
          <cell r="AM536">
            <v>660.46</v>
          </cell>
          <cell r="AO536" t="str">
            <v xml:space="preserve">       d.  Individual Home</v>
          </cell>
          <cell r="AP536">
            <v>0</v>
          </cell>
          <cell r="AQ536">
            <v>196.08</v>
          </cell>
          <cell r="AR536">
            <v>0</v>
          </cell>
          <cell r="AS536">
            <v>78.42</v>
          </cell>
          <cell r="AT536">
            <v>0</v>
          </cell>
          <cell r="AU536">
            <v>274.5</v>
          </cell>
          <cell r="AW536" t="str">
            <v xml:space="preserve">       d.  Individual Home</v>
          </cell>
          <cell r="AX536">
            <v>0</v>
          </cell>
          <cell r="AY536">
            <v>336.13</v>
          </cell>
          <cell r="AZ536">
            <v>0</v>
          </cell>
          <cell r="BA536">
            <v>124.83999999999999</v>
          </cell>
          <cell r="BB536">
            <v>0</v>
          </cell>
          <cell r="BC536">
            <v>460.96999999999997</v>
          </cell>
        </row>
        <row r="537">
          <cell r="A537" t="str">
            <v xml:space="preserve">       e.  Assisted Living Centers (SRL)</v>
          </cell>
          <cell r="B537">
            <v>0</v>
          </cell>
          <cell r="C537">
            <v>3.3200000000000003</v>
          </cell>
          <cell r="D537">
            <v>0</v>
          </cell>
          <cell r="E537">
            <v>3</v>
          </cell>
          <cell r="F537">
            <v>0</v>
          </cell>
          <cell r="G537">
            <v>6.32</v>
          </cell>
          <cell r="I537" t="str">
            <v xml:space="preserve">       e.  Assisted Living Centers (SRL)</v>
          </cell>
          <cell r="J537">
            <v>0</v>
          </cell>
          <cell r="K537">
            <v>144.38999999999999</v>
          </cell>
          <cell r="L537">
            <v>0</v>
          </cell>
          <cell r="M537">
            <v>8.17</v>
          </cell>
          <cell r="N537">
            <v>0</v>
          </cell>
          <cell r="O537">
            <v>152.55999999999997</v>
          </cell>
          <cell r="Q537" t="str">
            <v xml:space="preserve">       e.  Assisted Living Centers (SRL)</v>
          </cell>
          <cell r="R537">
            <v>0</v>
          </cell>
          <cell r="S537">
            <v>8.65</v>
          </cell>
          <cell r="T537">
            <v>0</v>
          </cell>
          <cell r="U537">
            <v>0</v>
          </cell>
          <cell r="V537">
            <v>0</v>
          </cell>
          <cell r="W537">
            <v>8.65</v>
          </cell>
          <cell r="Y537" t="str">
            <v xml:space="preserve">       e.  Assisted Living Centers (SRL)</v>
          </cell>
          <cell r="Z537">
            <v>0</v>
          </cell>
          <cell r="AA537">
            <v>2157.25</v>
          </cell>
          <cell r="AB537">
            <v>0</v>
          </cell>
          <cell r="AC537">
            <v>134.42000000000002</v>
          </cell>
          <cell r="AD537">
            <v>0</v>
          </cell>
          <cell r="AE537">
            <v>2291.67</v>
          </cell>
          <cell r="AG537" t="str">
            <v xml:space="preserve">       e.  Assisted Living Centers (SRL)</v>
          </cell>
          <cell r="AH537">
            <v>0</v>
          </cell>
          <cell r="AI537">
            <v>365.73</v>
          </cell>
          <cell r="AJ537">
            <v>0</v>
          </cell>
          <cell r="AK537">
            <v>51.73</v>
          </cell>
          <cell r="AL537">
            <v>0</v>
          </cell>
          <cell r="AM537">
            <v>417.46000000000004</v>
          </cell>
          <cell r="AO537" t="str">
            <v xml:space="preserve">       e.  Assisted Living Centers (SRL)</v>
          </cell>
          <cell r="AP537">
            <v>0</v>
          </cell>
          <cell r="AQ537">
            <v>57.95</v>
          </cell>
          <cell r="AR537">
            <v>0</v>
          </cell>
          <cell r="AS537">
            <v>9.8000000000000007</v>
          </cell>
          <cell r="AT537">
            <v>0</v>
          </cell>
          <cell r="AU537">
            <v>67.75</v>
          </cell>
          <cell r="AW537" t="str">
            <v xml:space="preserve">       e.  Assisted Living Centers (SRL)</v>
          </cell>
          <cell r="AX537">
            <v>0</v>
          </cell>
          <cell r="AY537">
            <v>144.34</v>
          </cell>
          <cell r="AZ537">
            <v>0</v>
          </cell>
          <cell r="BA537">
            <v>16.86</v>
          </cell>
          <cell r="BB537">
            <v>0</v>
          </cell>
          <cell r="BC537">
            <v>161.19999999999999</v>
          </cell>
        </row>
        <row r="538">
          <cell r="A538" t="str">
            <v xml:space="preserve">       f.  Other (Hospice)</v>
          </cell>
          <cell r="B538">
            <v>0</v>
          </cell>
          <cell r="C538">
            <v>17.420000000000002</v>
          </cell>
          <cell r="D538">
            <v>0</v>
          </cell>
          <cell r="E538">
            <v>0</v>
          </cell>
          <cell r="F538">
            <v>0</v>
          </cell>
          <cell r="G538">
            <v>17.420000000000002</v>
          </cell>
          <cell r="I538" t="str">
            <v xml:space="preserve">       f.  Other (Hospice)</v>
          </cell>
          <cell r="J538">
            <v>0</v>
          </cell>
          <cell r="K538">
            <v>1.9100000000000001</v>
          </cell>
          <cell r="L538">
            <v>0</v>
          </cell>
          <cell r="M538">
            <v>0</v>
          </cell>
          <cell r="N538">
            <v>0</v>
          </cell>
          <cell r="O538">
            <v>1.9100000000000001</v>
          </cell>
          <cell r="Q538" t="str">
            <v xml:space="preserve">       f.  Other (Hospice)</v>
          </cell>
          <cell r="R538">
            <v>0</v>
          </cell>
          <cell r="S538">
            <v>0</v>
          </cell>
          <cell r="T538">
            <v>0</v>
          </cell>
          <cell r="U538">
            <v>3</v>
          </cell>
          <cell r="V538">
            <v>0</v>
          </cell>
          <cell r="W538">
            <v>3</v>
          </cell>
          <cell r="Y538" t="str">
            <v xml:space="preserve">       f.  Other (Hospice)</v>
          </cell>
          <cell r="Z538">
            <v>0</v>
          </cell>
          <cell r="AA538">
            <v>287.98</v>
          </cell>
          <cell r="AB538">
            <v>0</v>
          </cell>
          <cell r="AC538">
            <v>6.83</v>
          </cell>
          <cell r="AD538">
            <v>0</v>
          </cell>
          <cell r="AE538">
            <v>294.81</v>
          </cell>
          <cell r="AG538" t="str">
            <v xml:space="preserve">       f.  Other (Hospice)</v>
          </cell>
          <cell r="AH538">
            <v>0</v>
          </cell>
          <cell r="AI538">
            <v>4.0600000000000005</v>
          </cell>
          <cell r="AJ538">
            <v>0</v>
          </cell>
          <cell r="AK538">
            <v>0</v>
          </cell>
          <cell r="AL538">
            <v>0</v>
          </cell>
          <cell r="AM538">
            <v>4.0600000000000005</v>
          </cell>
          <cell r="AO538" t="str">
            <v xml:space="preserve">       f.  Other (Hospice)</v>
          </cell>
          <cell r="AP538">
            <v>0</v>
          </cell>
          <cell r="AQ538">
            <v>16.420000000000002</v>
          </cell>
          <cell r="AR538">
            <v>0</v>
          </cell>
          <cell r="AS538">
            <v>6.49</v>
          </cell>
          <cell r="AT538">
            <v>0</v>
          </cell>
          <cell r="AU538">
            <v>22.910000000000004</v>
          </cell>
          <cell r="AW538" t="str">
            <v xml:space="preserve">       f.  Other (Hospice)</v>
          </cell>
          <cell r="AX538">
            <v>0</v>
          </cell>
          <cell r="AY538">
            <v>25.36</v>
          </cell>
          <cell r="AZ538">
            <v>0</v>
          </cell>
          <cell r="BA538">
            <v>1.9</v>
          </cell>
          <cell r="BB538">
            <v>0</v>
          </cell>
          <cell r="BC538">
            <v>27.259999999999998</v>
          </cell>
        </row>
        <row r="539">
          <cell r="A539" t="str">
            <v xml:space="preserve">       g.  Attendant Care</v>
          </cell>
          <cell r="B539">
            <v>0</v>
          </cell>
          <cell r="C539">
            <v>48.48</v>
          </cell>
          <cell r="D539">
            <v>0</v>
          </cell>
          <cell r="E539">
            <v>9</v>
          </cell>
          <cell r="F539">
            <v>0</v>
          </cell>
          <cell r="G539">
            <v>57.48</v>
          </cell>
          <cell r="I539" t="str">
            <v xml:space="preserve">       g.  Attendant Care</v>
          </cell>
          <cell r="J539">
            <v>0</v>
          </cell>
          <cell r="K539">
            <v>68.13</v>
          </cell>
          <cell r="L539">
            <v>0</v>
          </cell>
          <cell r="M539">
            <v>28.619999999999997</v>
          </cell>
          <cell r="N539">
            <v>0</v>
          </cell>
          <cell r="O539">
            <v>96.75</v>
          </cell>
          <cell r="Q539" t="str">
            <v xml:space="preserve">       g.  Attendant Care</v>
          </cell>
          <cell r="R539">
            <v>0</v>
          </cell>
          <cell r="S539">
            <v>17</v>
          </cell>
          <cell r="T539">
            <v>0</v>
          </cell>
          <cell r="U539">
            <v>8.07</v>
          </cell>
          <cell r="V539">
            <v>0</v>
          </cell>
          <cell r="W539">
            <v>25.07</v>
          </cell>
          <cell r="Y539" t="str">
            <v xml:space="preserve">       g.  Attendant Care</v>
          </cell>
          <cell r="Z539">
            <v>0</v>
          </cell>
          <cell r="AA539">
            <v>2083.3200000000002</v>
          </cell>
          <cell r="AB539">
            <v>0</v>
          </cell>
          <cell r="AC539">
            <v>496.35</v>
          </cell>
          <cell r="AD539">
            <v>0</v>
          </cell>
          <cell r="AE539">
            <v>2579.67</v>
          </cell>
          <cell r="AG539" t="str">
            <v xml:space="preserve">       g.  Attendant Care</v>
          </cell>
          <cell r="AH539">
            <v>0</v>
          </cell>
          <cell r="AI539">
            <v>378.56</v>
          </cell>
          <cell r="AJ539">
            <v>0</v>
          </cell>
          <cell r="AK539">
            <v>57.490000000000009</v>
          </cell>
          <cell r="AL539">
            <v>0</v>
          </cell>
          <cell r="AM539">
            <v>436.05</v>
          </cell>
          <cell r="AO539" t="str">
            <v xml:space="preserve">       g.  Attendant Care</v>
          </cell>
          <cell r="AP539">
            <v>0</v>
          </cell>
          <cell r="AQ539">
            <v>124.47</v>
          </cell>
          <cell r="AR539">
            <v>0</v>
          </cell>
          <cell r="AS539">
            <v>29</v>
          </cell>
          <cell r="AT539">
            <v>0</v>
          </cell>
          <cell r="AU539">
            <v>153.47</v>
          </cell>
          <cell r="AW539" t="str">
            <v xml:space="preserve">       g.  Attendant Care</v>
          </cell>
          <cell r="AX539">
            <v>0</v>
          </cell>
          <cell r="AY539">
            <v>397.32000000000005</v>
          </cell>
          <cell r="AZ539">
            <v>0</v>
          </cell>
          <cell r="BA539">
            <v>105.08000000000001</v>
          </cell>
          <cell r="BB539">
            <v>0</v>
          </cell>
          <cell r="BC539">
            <v>502.40000000000009</v>
          </cell>
        </row>
        <row r="540">
          <cell r="A540" t="str">
            <v xml:space="preserve">   8.  Acute Care</v>
          </cell>
          <cell r="B540">
            <v>0</v>
          </cell>
          <cell r="C540">
            <v>3.2</v>
          </cell>
          <cell r="D540">
            <v>0</v>
          </cell>
          <cell r="E540">
            <v>0</v>
          </cell>
          <cell r="F540">
            <v>0</v>
          </cell>
          <cell r="G540">
            <v>3.2</v>
          </cell>
          <cell r="I540" t="str">
            <v xml:space="preserve">   8.  Acute Care</v>
          </cell>
          <cell r="J540">
            <v>0</v>
          </cell>
          <cell r="K540">
            <v>11</v>
          </cell>
          <cell r="L540">
            <v>0</v>
          </cell>
          <cell r="M540">
            <v>6.0299999999999994</v>
          </cell>
          <cell r="N540">
            <v>0</v>
          </cell>
          <cell r="O540">
            <v>17.03</v>
          </cell>
          <cell r="Q540" t="str">
            <v xml:space="preserve">   8.  Acute Care</v>
          </cell>
          <cell r="R540">
            <v>0</v>
          </cell>
          <cell r="S540">
            <v>7.5299999999999994</v>
          </cell>
          <cell r="T540">
            <v>0</v>
          </cell>
          <cell r="U540">
            <v>0</v>
          </cell>
          <cell r="V540">
            <v>0</v>
          </cell>
          <cell r="W540">
            <v>7.5299999999999994</v>
          </cell>
          <cell r="Y540" t="str">
            <v xml:space="preserve">   8.  Acute Care</v>
          </cell>
          <cell r="Z540">
            <v>0</v>
          </cell>
          <cell r="AA540">
            <v>114.88</v>
          </cell>
          <cell r="AB540">
            <v>0</v>
          </cell>
          <cell r="AC540">
            <v>85.009999999999991</v>
          </cell>
          <cell r="AD540">
            <v>0</v>
          </cell>
          <cell r="AE540">
            <v>199.89</v>
          </cell>
          <cell r="AG540" t="str">
            <v xml:space="preserve">   8.  Acute Care</v>
          </cell>
          <cell r="AH540">
            <v>0</v>
          </cell>
          <cell r="AI540">
            <v>6.9</v>
          </cell>
          <cell r="AJ540">
            <v>0</v>
          </cell>
          <cell r="AK540">
            <v>0</v>
          </cell>
          <cell r="AL540">
            <v>0</v>
          </cell>
          <cell r="AM540">
            <v>6.9</v>
          </cell>
          <cell r="AO540" t="str">
            <v xml:space="preserve">   8.  Acute Care</v>
          </cell>
          <cell r="AP540">
            <v>0</v>
          </cell>
          <cell r="AQ540">
            <v>4.57</v>
          </cell>
          <cell r="AR540">
            <v>0</v>
          </cell>
          <cell r="AS540">
            <v>0</v>
          </cell>
          <cell r="AT540">
            <v>0</v>
          </cell>
          <cell r="AU540">
            <v>4.57</v>
          </cell>
          <cell r="AW540" t="str">
            <v xml:space="preserve">   8.  Acute Care</v>
          </cell>
          <cell r="AX540">
            <v>0</v>
          </cell>
          <cell r="AY540">
            <v>5</v>
          </cell>
          <cell r="AZ540">
            <v>0</v>
          </cell>
          <cell r="BA540">
            <v>5</v>
          </cell>
          <cell r="BB540">
            <v>0</v>
          </cell>
          <cell r="BC540">
            <v>10</v>
          </cell>
        </row>
        <row r="541">
          <cell r="A541" t="str">
            <v xml:space="preserve">   9.  Ventilator</v>
          </cell>
          <cell r="B541">
            <v>0</v>
          </cell>
          <cell r="C541">
            <v>0</v>
          </cell>
          <cell r="D541">
            <v>0</v>
          </cell>
          <cell r="E541">
            <v>0</v>
          </cell>
          <cell r="F541">
            <v>0</v>
          </cell>
          <cell r="G541">
            <v>0</v>
          </cell>
          <cell r="I541" t="str">
            <v xml:space="preserve">   9.  Ventilator</v>
          </cell>
          <cell r="J541">
            <v>0</v>
          </cell>
          <cell r="K541">
            <v>0</v>
          </cell>
          <cell r="L541">
            <v>0</v>
          </cell>
          <cell r="M541">
            <v>3</v>
          </cell>
          <cell r="N541">
            <v>0</v>
          </cell>
          <cell r="O541">
            <v>3</v>
          </cell>
          <cell r="Q541" t="str">
            <v xml:space="preserve">   9.  Ventilator</v>
          </cell>
          <cell r="R541">
            <v>0</v>
          </cell>
          <cell r="S541">
            <v>0</v>
          </cell>
          <cell r="T541">
            <v>0</v>
          </cell>
          <cell r="U541">
            <v>0</v>
          </cell>
          <cell r="V541">
            <v>0</v>
          </cell>
          <cell r="W541">
            <v>0</v>
          </cell>
          <cell r="Y541" t="str">
            <v xml:space="preserve">   9.  Ventilator</v>
          </cell>
          <cell r="Z541">
            <v>0</v>
          </cell>
          <cell r="AA541">
            <v>64.25</v>
          </cell>
          <cell r="AB541">
            <v>0</v>
          </cell>
          <cell r="AC541">
            <v>56.510000000000005</v>
          </cell>
          <cell r="AD541">
            <v>0</v>
          </cell>
          <cell r="AE541">
            <v>120.76</v>
          </cell>
          <cell r="AG541" t="str">
            <v xml:space="preserve">   9.  Ventilator</v>
          </cell>
          <cell r="AH541">
            <v>0</v>
          </cell>
          <cell r="AI541">
            <v>4</v>
          </cell>
          <cell r="AJ541">
            <v>0</v>
          </cell>
          <cell r="AK541">
            <v>0</v>
          </cell>
          <cell r="AL541">
            <v>0</v>
          </cell>
          <cell r="AM541">
            <v>4</v>
          </cell>
          <cell r="AO541" t="str">
            <v xml:space="preserve">   9.  Ventilator</v>
          </cell>
          <cell r="AP541">
            <v>0</v>
          </cell>
          <cell r="AQ541">
            <v>4</v>
          </cell>
          <cell r="AR541">
            <v>0</v>
          </cell>
          <cell r="AS541">
            <v>3</v>
          </cell>
          <cell r="AT541">
            <v>0</v>
          </cell>
          <cell r="AU541">
            <v>7</v>
          </cell>
          <cell r="AW541" t="str">
            <v xml:space="preserve">   9.  Ventilator</v>
          </cell>
          <cell r="AX541">
            <v>0</v>
          </cell>
          <cell r="AY541">
            <v>0</v>
          </cell>
          <cell r="AZ541">
            <v>0</v>
          </cell>
          <cell r="BA541">
            <v>3</v>
          </cell>
          <cell r="BB541">
            <v>0</v>
          </cell>
          <cell r="BC541">
            <v>3</v>
          </cell>
        </row>
        <row r="542">
          <cell r="A542" t="str">
            <v xml:space="preserve">  10.  Prior Period</v>
          </cell>
          <cell r="B542">
            <v>0</v>
          </cell>
          <cell r="C542">
            <v>1.9666999999999999</v>
          </cell>
          <cell r="D542">
            <v>0</v>
          </cell>
          <cell r="E542">
            <v>0</v>
          </cell>
          <cell r="F542">
            <v>0</v>
          </cell>
          <cell r="G542">
            <v>1.9666999999999999</v>
          </cell>
          <cell r="I542" t="str">
            <v xml:space="preserve">  10.  Prior Period</v>
          </cell>
          <cell r="J542">
            <v>0</v>
          </cell>
          <cell r="K542">
            <v>16.677399999999999</v>
          </cell>
          <cell r="L542">
            <v>0</v>
          </cell>
          <cell r="M542">
            <v>4.9333</v>
          </cell>
          <cell r="N542">
            <v>0</v>
          </cell>
          <cell r="O542">
            <v>21.610699999999998</v>
          </cell>
          <cell r="Q542" t="str">
            <v xml:space="preserve">  10.  Prior Period</v>
          </cell>
          <cell r="R542">
            <v>0</v>
          </cell>
          <cell r="S542">
            <v>19.161200000000001</v>
          </cell>
          <cell r="T542">
            <v>0</v>
          </cell>
          <cell r="U542">
            <v>0</v>
          </cell>
          <cell r="V542">
            <v>0</v>
          </cell>
          <cell r="W542">
            <v>19.161200000000001</v>
          </cell>
          <cell r="Y542" t="str">
            <v xml:space="preserve">  10.  Prior Period</v>
          </cell>
          <cell r="Z542">
            <v>0</v>
          </cell>
          <cell r="AA542">
            <v>506.45180000000005</v>
          </cell>
          <cell r="AB542">
            <v>0</v>
          </cell>
          <cell r="AC542">
            <v>36.459099999999999</v>
          </cell>
          <cell r="AD542">
            <v>0</v>
          </cell>
          <cell r="AE542">
            <v>542.91090000000008</v>
          </cell>
          <cell r="AG542" t="str">
            <v xml:space="preserve">  10.  Prior Period</v>
          </cell>
          <cell r="AH542">
            <v>0</v>
          </cell>
          <cell r="AI542">
            <v>80.073099999999997</v>
          </cell>
          <cell r="AJ542">
            <v>0</v>
          </cell>
          <cell r="AK542">
            <v>9.0333000000000006</v>
          </cell>
          <cell r="AL542">
            <v>0</v>
          </cell>
          <cell r="AM542">
            <v>89.106399999999994</v>
          </cell>
          <cell r="AO542" t="str">
            <v xml:space="preserve">  10.  Prior Period</v>
          </cell>
          <cell r="AP542">
            <v>0</v>
          </cell>
          <cell r="AQ542">
            <v>21.099999999999998</v>
          </cell>
          <cell r="AR542">
            <v>0</v>
          </cell>
          <cell r="AS542">
            <v>3.2300000000000002E-2</v>
          </cell>
          <cell r="AT542">
            <v>0</v>
          </cell>
          <cell r="AU542">
            <v>21.132299999999997</v>
          </cell>
          <cell r="AW542" t="str">
            <v xml:space="preserve">  10.  Prior Period</v>
          </cell>
          <cell r="AX542">
            <v>0</v>
          </cell>
          <cell r="AY542">
            <v>39.611800000000002</v>
          </cell>
          <cell r="AZ542">
            <v>0</v>
          </cell>
          <cell r="BA542">
            <v>0</v>
          </cell>
          <cell r="BB542">
            <v>0</v>
          </cell>
          <cell r="BC542">
            <v>39.611800000000002</v>
          </cell>
        </row>
        <row r="543">
          <cell r="A543" t="str">
            <v xml:space="preserve">  11.  Other - Not Placed</v>
          </cell>
          <cell r="B543">
            <v>0</v>
          </cell>
          <cell r="C543">
            <v>-23.29</v>
          </cell>
          <cell r="D543">
            <v>0</v>
          </cell>
          <cell r="E543">
            <v>-7</v>
          </cell>
          <cell r="F543">
            <v>0</v>
          </cell>
          <cell r="G543">
            <v>-30.29</v>
          </cell>
          <cell r="I543" t="str">
            <v xml:space="preserve">  11.  Other - Not Placed</v>
          </cell>
          <cell r="J543">
            <v>0</v>
          </cell>
          <cell r="K543">
            <v>-42.91</v>
          </cell>
          <cell r="L543">
            <v>0</v>
          </cell>
          <cell r="M543">
            <v>-4.43</v>
          </cell>
          <cell r="N543">
            <v>0</v>
          </cell>
          <cell r="O543">
            <v>-47.339999999999996</v>
          </cell>
          <cell r="Q543" t="str">
            <v xml:space="preserve">  11.  Other - Not Placed</v>
          </cell>
          <cell r="R543">
            <v>0</v>
          </cell>
          <cell r="S543">
            <v>-22.83</v>
          </cell>
          <cell r="T543">
            <v>0</v>
          </cell>
          <cell r="U543">
            <v>0</v>
          </cell>
          <cell r="V543">
            <v>0</v>
          </cell>
          <cell r="W543">
            <v>-22.83</v>
          </cell>
          <cell r="Y543" t="str">
            <v xml:space="preserve">  11.  Other - Not Placed</v>
          </cell>
          <cell r="Z543">
            <v>0</v>
          </cell>
          <cell r="AA543">
            <v>-1251.3499999999979</v>
          </cell>
          <cell r="AB543">
            <v>0</v>
          </cell>
          <cell r="AC543">
            <v>-184.51999999999998</v>
          </cell>
          <cell r="AD543">
            <v>0</v>
          </cell>
          <cell r="AE543">
            <v>-1435.8699999999978</v>
          </cell>
          <cell r="AG543" t="str">
            <v xml:space="preserve">  11.  Other - Not Placed</v>
          </cell>
          <cell r="AH543">
            <v>0</v>
          </cell>
          <cell r="AI543">
            <v>-294.55</v>
          </cell>
          <cell r="AJ543">
            <v>0</v>
          </cell>
          <cell r="AK543">
            <v>-14.290000000000001</v>
          </cell>
          <cell r="AL543">
            <v>0</v>
          </cell>
          <cell r="AM543">
            <v>-308.84000000000003</v>
          </cell>
          <cell r="AO543" t="str">
            <v xml:space="preserve">  11.  Other - Not Placed</v>
          </cell>
          <cell r="AP543">
            <v>0</v>
          </cell>
          <cell r="AQ543">
            <v>-31.769999999999996</v>
          </cell>
          <cell r="AR543">
            <v>0</v>
          </cell>
          <cell r="AS543">
            <v>-18.259999999999998</v>
          </cell>
          <cell r="AT543">
            <v>0</v>
          </cell>
          <cell r="AU543">
            <v>-50.029999999999994</v>
          </cell>
          <cell r="AW543" t="str">
            <v xml:space="preserve">  11.  Other - Not Placed</v>
          </cell>
          <cell r="AX543">
            <v>0</v>
          </cell>
          <cell r="AY543">
            <v>-270.71000000000004</v>
          </cell>
          <cell r="AZ543">
            <v>0</v>
          </cell>
          <cell r="BA543">
            <v>-48.54</v>
          </cell>
          <cell r="BB543">
            <v>0</v>
          </cell>
          <cell r="BC543">
            <v>-319.25000000000006</v>
          </cell>
        </row>
        <row r="545">
          <cell r="A545" t="str">
            <v>C.   Acute Patient Day Information</v>
          </cell>
          <cell r="I545" t="str">
            <v>C.   Acute Patient Day Information</v>
          </cell>
          <cell r="Q545" t="str">
            <v>C.   Acute Patient Day Information</v>
          </cell>
          <cell r="Y545" t="str">
            <v>C.   Acute Patient Day Information</v>
          </cell>
          <cell r="AG545" t="str">
            <v>C.   Acute Patient Day Information</v>
          </cell>
          <cell r="AO545" t="str">
            <v>C.   Acute Patient Day Information</v>
          </cell>
          <cell r="AW545" t="str">
            <v>C.   Acute Patient Day Information</v>
          </cell>
        </row>
        <row r="546">
          <cell r="A546" t="str">
            <v xml:space="preserve">       a.  Admissions</v>
          </cell>
          <cell r="B546">
            <v>0</v>
          </cell>
          <cell r="C546">
            <v>16</v>
          </cell>
          <cell r="D546">
            <v>0</v>
          </cell>
          <cell r="E546">
            <v>2</v>
          </cell>
          <cell r="F546">
            <v>0</v>
          </cell>
          <cell r="G546">
            <v>18</v>
          </cell>
          <cell r="I546" t="str">
            <v xml:space="preserve">       a.  Admissions</v>
          </cell>
          <cell r="J546">
            <v>0</v>
          </cell>
          <cell r="K546">
            <v>28</v>
          </cell>
          <cell r="L546">
            <v>0</v>
          </cell>
          <cell r="M546">
            <v>10</v>
          </cell>
          <cell r="N546">
            <v>0</v>
          </cell>
          <cell r="O546">
            <v>38</v>
          </cell>
          <cell r="Q546" t="str">
            <v xml:space="preserve">       a.  Admissions</v>
          </cell>
          <cell r="R546">
            <v>0</v>
          </cell>
          <cell r="S546">
            <v>17</v>
          </cell>
          <cell r="T546">
            <v>0</v>
          </cell>
          <cell r="U546">
            <v>2</v>
          </cell>
          <cell r="V546">
            <v>0</v>
          </cell>
          <cell r="W546">
            <v>19</v>
          </cell>
          <cell r="Y546" t="str">
            <v xml:space="preserve">       a.  Admissions</v>
          </cell>
          <cell r="Z546">
            <v>0</v>
          </cell>
          <cell r="AA546">
            <v>789</v>
          </cell>
          <cell r="AB546">
            <v>0</v>
          </cell>
          <cell r="AC546">
            <v>142</v>
          </cell>
          <cell r="AD546">
            <v>0</v>
          </cell>
          <cell r="AE546">
            <v>931</v>
          </cell>
          <cell r="AG546" t="str">
            <v xml:space="preserve">       a.  Admissions</v>
          </cell>
          <cell r="AH546">
            <v>0</v>
          </cell>
          <cell r="AI546">
            <v>125</v>
          </cell>
          <cell r="AJ546">
            <v>0</v>
          </cell>
          <cell r="AK546">
            <v>34</v>
          </cell>
          <cell r="AL546">
            <v>0</v>
          </cell>
          <cell r="AM546">
            <v>159</v>
          </cell>
          <cell r="AO546" t="str">
            <v xml:space="preserve">       a.  Admissions</v>
          </cell>
          <cell r="AP546">
            <v>0</v>
          </cell>
          <cell r="AQ546">
            <v>34</v>
          </cell>
          <cell r="AR546">
            <v>0</v>
          </cell>
          <cell r="AS546">
            <v>7</v>
          </cell>
          <cell r="AT546">
            <v>0</v>
          </cell>
          <cell r="AU546">
            <v>41</v>
          </cell>
          <cell r="AW546" t="str">
            <v xml:space="preserve">       a.  Admissions</v>
          </cell>
          <cell r="AX546">
            <v>0</v>
          </cell>
          <cell r="AY546">
            <v>112</v>
          </cell>
          <cell r="AZ546">
            <v>0</v>
          </cell>
          <cell r="BA546">
            <v>14</v>
          </cell>
          <cell r="BB546">
            <v>0</v>
          </cell>
          <cell r="BC546">
            <v>126</v>
          </cell>
        </row>
        <row r="547">
          <cell r="A547" t="str">
            <v xml:space="preserve">       b.  Patient Days</v>
          </cell>
          <cell r="B547">
            <v>0</v>
          </cell>
          <cell r="C547">
            <v>76</v>
          </cell>
          <cell r="D547">
            <v>0</v>
          </cell>
          <cell r="E547">
            <v>11</v>
          </cell>
          <cell r="F547">
            <v>0</v>
          </cell>
          <cell r="G547">
            <v>87</v>
          </cell>
          <cell r="I547" t="str">
            <v xml:space="preserve">       b.  Patient Days</v>
          </cell>
          <cell r="J547">
            <v>0</v>
          </cell>
          <cell r="K547">
            <v>170</v>
          </cell>
          <cell r="L547">
            <v>0</v>
          </cell>
          <cell r="M547">
            <v>63</v>
          </cell>
          <cell r="N547">
            <v>0</v>
          </cell>
          <cell r="O547">
            <v>233</v>
          </cell>
          <cell r="Q547" t="str">
            <v xml:space="preserve">       b.  Patient Days</v>
          </cell>
          <cell r="R547">
            <v>0</v>
          </cell>
          <cell r="S547">
            <v>95</v>
          </cell>
          <cell r="T547">
            <v>0</v>
          </cell>
          <cell r="U547">
            <v>6</v>
          </cell>
          <cell r="V547">
            <v>0</v>
          </cell>
          <cell r="W547">
            <v>101</v>
          </cell>
          <cell r="Y547" t="str">
            <v xml:space="preserve">       b.  Patient Days</v>
          </cell>
          <cell r="Z547">
            <v>0</v>
          </cell>
          <cell r="AA547">
            <v>4179</v>
          </cell>
          <cell r="AB547">
            <v>0</v>
          </cell>
          <cell r="AC547">
            <v>826</v>
          </cell>
          <cell r="AD547">
            <v>0</v>
          </cell>
          <cell r="AE547">
            <v>5005</v>
          </cell>
          <cell r="AG547" t="str">
            <v xml:space="preserve">       b.  Patient Days</v>
          </cell>
          <cell r="AH547">
            <v>0</v>
          </cell>
          <cell r="AI547">
            <v>727</v>
          </cell>
          <cell r="AJ547">
            <v>0</v>
          </cell>
          <cell r="AK547">
            <v>221</v>
          </cell>
          <cell r="AL547">
            <v>0</v>
          </cell>
          <cell r="AM547">
            <v>948</v>
          </cell>
          <cell r="AO547" t="str">
            <v xml:space="preserve">       b.  Patient Days</v>
          </cell>
          <cell r="AP547">
            <v>0</v>
          </cell>
          <cell r="AQ547">
            <v>165</v>
          </cell>
          <cell r="AR547">
            <v>0</v>
          </cell>
          <cell r="AS547">
            <v>52</v>
          </cell>
          <cell r="AT547">
            <v>0</v>
          </cell>
          <cell r="AU547">
            <v>217</v>
          </cell>
          <cell r="AW547" t="str">
            <v xml:space="preserve">       b.  Patient Days</v>
          </cell>
          <cell r="AX547">
            <v>0</v>
          </cell>
          <cell r="AY547">
            <v>682</v>
          </cell>
          <cell r="AZ547">
            <v>0</v>
          </cell>
          <cell r="BA547">
            <v>52</v>
          </cell>
          <cell r="BB547">
            <v>0</v>
          </cell>
          <cell r="BC547">
            <v>734</v>
          </cell>
        </row>
        <row r="548">
          <cell r="A548" t="str">
            <v xml:space="preserve">       c.  Discharges</v>
          </cell>
          <cell r="B548">
            <v>0</v>
          </cell>
          <cell r="C548">
            <v>18</v>
          </cell>
          <cell r="D548">
            <v>0</v>
          </cell>
          <cell r="E548">
            <v>2</v>
          </cell>
          <cell r="F548">
            <v>0</v>
          </cell>
          <cell r="G548">
            <v>20</v>
          </cell>
          <cell r="I548" t="str">
            <v xml:space="preserve">       c.  Discharges</v>
          </cell>
          <cell r="J548">
            <v>0</v>
          </cell>
          <cell r="K548">
            <v>26</v>
          </cell>
          <cell r="L548">
            <v>0</v>
          </cell>
          <cell r="M548">
            <v>10</v>
          </cell>
          <cell r="N548">
            <v>0</v>
          </cell>
          <cell r="O548">
            <v>36</v>
          </cell>
          <cell r="Q548" t="str">
            <v xml:space="preserve">       c.  Discharges</v>
          </cell>
          <cell r="R548">
            <v>0</v>
          </cell>
          <cell r="S548">
            <v>13</v>
          </cell>
          <cell r="T548">
            <v>0</v>
          </cell>
          <cell r="U548">
            <v>2</v>
          </cell>
          <cell r="V548">
            <v>0</v>
          </cell>
          <cell r="W548">
            <v>15</v>
          </cell>
          <cell r="Y548" t="str">
            <v xml:space="preserve">       c.  Discharges</v>
          </cell>
          <cell r="Z548">
            <v>0</v>
          </cell>
          <cell r="AA548">
            <v>749</v>
          </cell>
          <cell r="AB548">
            <v>0</v>
          </cell>
          <cell r="AC548">
            <v>136</v>
          </cell>
          <cell r="AD548">
            <v>0</v>
          </cell>
          <cell r="AE548">
            <v>885</v>
          </cell>
          <cell r="AG548" t="str">
            <v xml:space="preserve">       c.  Discharges</v>
          </cell>
          <cell r="AH548">
            <v>0</v>
          </cell>
          <cell r="AI548">
            <v>119</v>
          </cell>
          <cell r="AJ548">
            <v>0</v>
          </cell>
          <cell r="AK548">
            <v>28</v>
          </cell>
          <cell r="AL548">
            <v>0</v>
          </cell>
          <cell r="AM548">
            <v>147</v>
          </cell>
          <cell r="AO548" t="str">
            <v xml:space="preserve">       c.  Discharges</v>
          </cell>
          <cell r="AP548">
            <v>0</v>
          </cell>
          <cell r="AQ548">
            <v>31</v>
          </cell>
          <cell r="AR548">
            <v>0</v>
          </cell>
          <cell r="AS548">
            <v>7</v>
          </cell>
          <cell r="AT548">
            <v>0</v>
          </cell>
          <cell r="AU548">
            <v>38</v>
          </cell>
          <cell r="AW548" t="str">
            <v xml:space="preserve">       c.  Discharges</v>
          </cell>
          <cell r="AX548">
            <v>0</v>
          </cell>
          <cell r="AY548">
            <v>113</v>
          </cell>
          <cell r="AZ548">
            <v>0</v>
          </cell>
          <cell r="BA548">
            <v>13</v>
          </cell>
          <cell r="BB548">
            <v>0</v>
          </cell>
          <cell r="BC548">
            <v>126</v>
          </cell>
        </row>
        <row r="549">
          <cell r="A549" t="str">
            <v xml:space="preserve">       d.  Discharge Days</v>
          </cell>
          <cell r="B549">
            <v>0</v>
          </cell>
          <cell r="C549">
            <v>76</v>
          </cell>
          <cell r="D549">
            <v>0</v>
          </cell>
          <cell r="E549">
            <v>11</v>
          </cell>
          <cell r="F549">
            <v>0</v>
          </cell>
          <cell r="G549">
            <v>87</v>
          </cell>
          <cell r="I549" t="str">
            <v xml:space="preserve">       d.  Discharge Days</v>
          </cell>
          <cell r="J549">
            <v>0</v>
          </cell>
          <cell r="K549">
            <v>131</v>
          </cell>
          <cell r="L549">
            <v>0</v>
          </cell>
          <cell r="M549">
            <v>58</v>
          </cell>
          <cell r="N549">
            <v>0</v>
          </cell>
          <cell r="O549">
            <v>189</v>
          </cell>
          <cell r="Q549" t="str">
            <v xml:space="preserve">       d.  Discharge Days</v>
          </cell>
          <cell r="R549">
            <v>0</v>
          </cell>
          <cell r="S549">
            <v>65</v>
          </cell>
          <cell r="T549">
            <v>0</v>
          </cell>
          <cell r="U549">
            <v>6</v>
          </cell>
          <cell r="V549">
            <v>0</v>
          </cell>
          <cell r="W549">
            <v>71</v>
          </cell>
          <cell r="Y549" t="str">
            <v xml:space="preserve">       d.  Discharge Days</v>
          </cell>
          <cell r="Z549">
            <v>0</v>
          </cell>
          <cell r="AA549">
            <v>3294</v>
          </cell>
          <cell r="AB549">
            <v>0</v>
          </cell>
          <cell r="AC549">
            <v>668</v>
          </cell>
          <cell r="AD549">
            <v>0</v>
          </cell>
          <cell r="AE549">
            <v>3962</v>
          </cell>
          <cell r="AG549" t="str">
            <v xml:space="preserve">       d.  Discharge Days</v>
          </cell>
          <cell r="AH549">
            <v>0</v>
          </cell>
          <cell r="AI549">
            <v>586</v>
          </cell>
          <cell r="AJ549">
            <v>0</v>
          </cell>
          <cell r="AK549">
            <v>142</v>
          </cell>
          <cell r="AL549">
            <v>0</v>
          </cell>
          <cell r="AM549">
            <v>728</v>
          </cell>
          <cell r="AO549" t="str">
            <v xml:space="preserve">       d.  Discharge Days</v>
          </cell>
          <cell r="AP549">
            <v>0</v>
          </cell>
          <cell r="AQ549">
            <v>128</v>
          </cell>
          <cell r="AR549">
            <v>0</v>
          </cell>
          <cell r="AS549">
            <v>33</v>
          </cell>
          <cell r="AT549">
            <v>0</v>
          </cell>
          <cell r="AU549">
            <v>161</v>
          </cell>
          <cell r="AW549" t="str">
            <v xml:space="preserve">       d.  Discharge Days</v>
          </cell>
          <cell r="AX549">
            <v>0</v>
          </cell>
          <cell r="AY549">
            <v>519</v>
          </cell>
          <cell r="AZ549">
            <v>0</v>
          </cell>
          <cell r="BA549">
            <v>48</v>
          </cell>
          <cell r="BB549">
            <v>0</v>
          </cell>
          <cell r="BC549">
            <v>567</v>
          </cell>
        </row>
        <row r="550">
          <cell r="A550" t="str">
            <v xml:space="preserve">       e.  Average Length of Stay</v>
          </cell>
          <cell r="B550">
            <v>0</v>
          </cell>
          <cell r="C550">
            <v>4.2222222222222223</v>
          </cell>
          <cell r="D550">
            <v>0</v>
          </cell>
          <cell r="E550">
            <v>5.5</v>
          </cell>
          <cell r="F550">
            <v>0</v>
          </cell>
          <cell r="G550">
            <v>4.3499999999999996</v>
          </cell>
          <cell r="I550" t="str">
            <v xml:space="preserve">       e.  Average Length of Stay</v>
          </cell>
          <cell r="J550">
            <v>0</v>
          </cell>
          <cell r="K550">
            <v>5.0384615384615383</v>
          </cell>
          <cell r="L550">
            <v>0</v>
          </cell>
          <cell r="M550">
            <v>5.8</v>
          </cell>
          <cell r="N550">
            <v>0</v>
          </cell>
          <cell r="O550">
            <v>5.25</v>
          </cell>
          <cell r="Q550" t="str">
            <v xml:space="preserve">       e.  Average Length of Stay</v>
          </cell>
          <cell r="R550">
            <v>0</v>
          </cell>
          <cell r="S550">
            <v>5</v>
          </cell>
          <cell r="T550">
            <v>0</v>
          </cell>
          <cell r="U550">
            <v>3</v>
          </cell>
          <cell r="V550">
            <v>0</v>
          </cell>
          <cell r="W550">
            <v>4.7333333333333334</v>
          </cell>
          <cell r="Y550" t="str">
            <v xml:space="preserve">       e.  Average Length of Stay</v>
          </cell>
          <cell r="Z550">
            <v>0</v>
          </cell>
          <cell r="AA550">
            <v>4.3978638184245664</v>
          </cell>
          <cell r="AB550">
            <v>0</v>
          </cell>
          <cell r="AC550">
            <v>4.9117647058823533</v>
          </cell>
          <cell r="AD550">
            <v>0</v>
          </cell>
          <cell r="AE550">
            <v>4.4768361581920901</v>
          </cell>
          <cell r="AG550" t="str">
            <v xml:space="preserve">       e.  Average Length of Stay</v>
          </cell>
          <cell r="AH550">
            <v>0</v>
          </cell>
          <cell r="AI550">
            <v>4.9243697478991599</v>
          </cell>
          <cell r="AJ550">
            <v>0</v>
          </cell>
          <cell r="AK550">
            <v>5.0714285714285712</v>
          </cell>
          <cell r="AL550">
            <v>0</v>
          </cell>
          <cell r="AM550">
            <v>4.9523809523809526</v>
          </cell>
          <cell r="AO550" t="str">
            <v xml:space="preserve">       e.  Average Length of Stay</v>
          </cell>
          <cell r="AP550">
            <v>0</v>
          </cell>
          <cell r="AQ550">
            <v>4.129032258064516</v>
          </cell>
          <cell r="AR550">
            <v>0</v>
          </cell>
          <cell r="AS550">
            <v>4.7142857142857144</v>
          </cell>
          <cell r="AT550">
            <v>0</v>
          </cell>
          <cell r="AU550">
            <v>4.2368421052631575</v>
          </cell>
          <cell r="AW550" t="str">
            <v xml:space="preserve">       e.  Average Length of Stay</v>
          </cell>
          <cell r="AX550">
            <v>0</v>
          </cell>
          <cell r="AY550">
            <v>4.5929203539823007</v>
          </cell>
          <cell r="AZ550">
            <v>0</v>
          </cell>
          <cell r="BA550">
            <v>3.6923076923076925</v>
          </cell>
          <cell r="BB550">
            <v>0</v>
          </cell>
          <cell r="BC550">
            <v>4.5</v>
          </cell>
        </row>
        <row r="552">
          <cell r="A552" t="str">
            <v>D.   Emergency Room Visits</v>
          </cell>
          <cell r="B552">
            <v>0</v>
          </cell>
          <cell r="C552">
            <v>8</v>
          </cell>
          <cell r="D552">
            <v>0</v>
          </cell>
          <cell r="E552">
            <v>3</v>
          </cell>
          <cell r="F552">
            <v>0</v>
          </cell>
          <cell r="G552">
            <v>11</v>
          </cell>
          <cell r="I552" t="str">
            <v>D.   Emergency Room Visits</v>
          </cell>
          <cell r="J552">
            <v>0</v>
          </cell>
          <cell r="K552">
            <v>18</v>
          </cell>
          <cell r="L552">
            <v>0</v>
          </cell>
          <cell r="M552">
            <v>10</v>
          </cell>
          <cell r="N552">
            <v>0</v>
          </cell>
          <cell r="O552">
            <v>28</v>
          </cell>
          <cell r="Q552" t="str">
            <v>D.   Emergency Room Visits</v>
          </cell>
          <cell r="R552">
            <v>0</v>
          </cell>
          <cell r="S552">
            <v>9</v>
          </cell>
          <cell r="T552">
            <v>0</v>
          </cell>
          <cell r="U552">
            <v>1</v>
          </cell>
          <cell r="V552">
            <v>0</v>
          </cell>
          <cell r="W552">
            <v>10</v>
          </cell>
          <cell r="Y552" t="str">
            <v>D.   Emergency Room Visits</v>
          </cell>
          <cell r="Z552">
            <v>0</v>
          </cell>
          <cell r="AA552">
            <v>247</v>
          </cell>
          <cell r="AB552">
            <v>0</v>
          </cell>
          <cell r="AC552">
            <v>131</v>
          </cell>
          <cell r="AD552">
            <v>0</v>
          </cell>
          <cell r="AE552">
            <v>378</v>
          </cell>
          <cell r="AG552" t="str">
            <v>D.   Emergency Room Visits</v>
          </cell>
          <cell r="AH552">
            <v>0</v>
          </cell>
          <cell r="AI552">
            <v>102</v>
          </cell>
          <cell r="AJ552">
            <v>0</v>
          </cell>
          <cell r="AK552">
            <v>32</v>
          </cell>
          <cell r="AL552">
            <v>0</v>
          </cell>
          <cell r="AM552">
            <v>134</v>
          </cell>
          <cell r="AO552" t="str">
            <v>D.   Emergency Room Visits</v>
          </cell>
          <cell r="AP552">
            <v>0</v>
          </cell>
          <cell r="AQ552">
            <v>27</v>
          </cell>
          <cell r="AR552">
            <v>0</v>
          </cell>
          <cell r="AS552">
            <v>12</v>
          </cell>
          <cell r="AT552">
            <v>0</v>
          </cell>
          <cell r="AU552">
            <v>39</v>
          </cell>
          <cell r="AW552" t="str">
            <v>D.   Emergency Room Visits</v>
          </cell>
          <cell r="AX552">
            <v>0</v>
          </cell>
          <cell r="AY552">
            <v>43</v>
          </cell>
          <cell r="AZ552">
            <v>0</v>
          </cell>
          <cell r="BA552">
            <v>10</v>
          </cell>
          <cell r="BB552">
            <v>0</v>
          </cell>
          <cell r="BC552">
            <v>53</v>
          </cell>
        </row>
      </sheetData>
      <sheetData sheetId="1" refreshError="1">
        <row r="4">
          <cell r="A4" t="str">
            <v>Program Contractor Financial Reporting Systems - Report #11B Utilization Data Report for all Counties</v>
          </cell>
          <cell r="I4" t="str">
            <v>Program Contractor Financial Reporting Systems - Report #11B Utilization Data Report for all Counties</v>
          </cell>
          <cell r="Q4" t="str">
            <v>Program Contractor Financial Reporting Systems - Report #11B Utilization Data Report for all Counties</v>
          </cell>
          <cell r="Y4" t="str">
            <v>Program Contractor Financial Reporting Systems - Report #11B Utilization Data Report for all Counties</v>
          </cell>
        </row>
        <row r="6">
          <cell r="A6" t="str">
            <v>Statement for Program Contractor 110049 - Evercare of Arizona, Inc.</v>
          </cell>
          <cell r="I6" t="str">
            <v>Statement for Program Contractor 110049 - Evercare of Arizona, Inc.</v>
          </cell>
          <cell r="Q6" t="str">
            <v>Statement for Program Contractor 110049 - Evercare of Arizona, Inc.</v>
          </cell>
          <cell r="Y6" t="str">
            <v>Statement for Program Contractor 110049 - Evercare of Arizona, Inc.</v>
          </cell>
        </row>
        <row r="8">
          <cell r="A8" t="str">
            <v>For the Month ending 10/31/2005 in the Fiscal Year ending 9/30/2006</v>
          </cell>
          <cell r="F8" t="str">
            <v>Page 1 of 3</v>
          </cell>
          <cell r="I8" t="str">
            <v>For the Month ending 1/31/2006 in the Fiscal Year ending 9/30/2006</v>
          </cell>
          <cell r="N8" t="str">
            <v>Page 1 of 3</v>
          </cell>
          <cell r="Q8" t="str">
            <v>For the Month ending 4/30/2006 in the Fiscal Year ending 9/30/2006</v>
          </cell>
          <cell r="V8" t="str">
            <v>Page 1 of 3</v>
          </cell>
          <cell r="Y8" t="str">
            <v>For the Month ending 7/31/2006 in the Fiscal Year ending 9/30/2006</v>
          </cell>
          <cell r="AD8" t="str">
            <v>Page 1 of 3</v>
          </cell>
        </row>
        <row r="11">
          <cell r="A11" t="str">
            <v>Utilization Data Report for All Counties</v>
          </cell>
          <cell r="I11" t="str">
            <v>Utilization Data Report for All Counties</v>
          </cell>
          <cell r="Q11" t="str">
            <v>Utilization Data Report for All Counties</v>
          </cell>
          <cell r="Y11" t="str">
            <v>Utilization Data Report for All Counties</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row>
        <row r="16">
          <cell r="A16" t="str">
            <v>A.   Enrollees (At End of Period)</v>
          </cell>
          <cell r="B16">
            <v>6193</v>
          </cell>
          <cell r="D16">
            <v>952</v>
          </cell>
          <cell r="F16">
            <v>7145</v>
          </cell>
          <cell r="I16" t="str">
            <v>A.   Enrollees (At End of Period)</v>
          </cell>
          <cell r="J16">
            <v>0</v>
          </cell>
          <cell r="L16">
            <v>0</v>
          </cell>
          <cell r="N16">
            <v>0</v>
          </cell>
          <cell r="Q16" t="str">
            <v>A.   Enrollees (At End of Period)</v>
          </cell>
          <cell r="R16">
            <v>0</v>
          </cell>
          <cell r="T16">
            <v>0</v>
          </cell>
          <cell r="V16">
            <v>0</v>
          </cell>
          <cell r="Y16" t="str">
            <v>A.   Enrollees (At End of Period)</v>
          </cell>
          <cell r="Z16">
            <v>0</v>
          </cell>
          <cell r="AB16">
            <v>0</v>
          </cell>
          <cell r="AD16">
            <v>0</v>
          </cell>
        </row>
        <row r="18">
          <cell r="A18" t="str">
            <v>B.   Member Months (Unduplicated)</v>
          </cell>
          <cell r="B18">
            <v>6220.679100000003</v>
          </cell>
          <cell r="C18">
            <v>6220.679100000003</v>
          </cell>
          <cell r="D18">
            <v>1131.0909000000001</v>
          </cell>
          <cell r="E18">
            <v>1131.0909000000001</v>
          </cell>
          <cell r="F18">
            <v>7351.7700000000032</v>
          </cell>
          <cell r="G18">
            <v>7351.7700000000032</v>
          </cell>
          <cell r="I18" t="str">
            <v>B.   Member Months (Unduplicated)</v>
          </cell>
          <cell r="J18">
            <v>0</v>
          </cell>
          <cell r="K18">
            <v>19021.851999999999</v>
          </cell>
          <cell r="L18">
            <v>0</v>
          </cell>
          <cell r="M18">
            <v>2962.9680000000003</v>
          </cell>
          <cell r="N18">
            <v>0</v>
          </cell>
          <cell r="O18">
            <v>21984.820000000003</v>
          </cell>
          <cell r="Q18" t="str">
            <v>B.   Member Months (Unduplicated)</v>
          </cell>
          <cell r="R18">
            <v>0</v>
          </cell>
          <cell r="S18">
            <v>19021.851999999999</v>
          </cell>
          <cell r="T18">
            <v>0</v>
          </cell>
          <cell r="U18">
            <v>2962.9680000000003</v>
          </cell>
          <cell r="V18">
            <v>0</v>
          </cell>
          <cell r="W18">
            <v>21984.820000000003</v>
          </cell>
          <cell r="Y18" t="str">
            <v>B.   Member Months (Unduplicated)</v>
          </cell>
          <cell r="Z18">
            <v>0</v>
          </cell>
          <cell r="AA18">
            <v>19021.851999999999</v>
          </cell>
          <cell r="AB18">
            <v>0</v>
          </cell>
          <cell r="AC18">
            <v>2962.9680000000003</v>
          </cell>
          <cell r="AD18">
            <v>0</v>
          </cell>
          <cell r="AE18">
            <v>21984.820000000003</v>
          </cell>
        </row>
        <row r="19">
          <cell r="A19" t="str">
            <v xml:space="preserve">   Institutional Member Months Total</v>
          </cell>
          <cell r="B19">
            <v>3284.8999999999996</v>
          </cell>
          <cell r="C19">
            <v>3284.8999999999996</v>
          </cell>
          <cell r="D19">
            <v>270.27</v>
          </cell>
          <cell r="E19">
            <v>270.27</v>
          </cell>
          <cell r="F19">
            <v>3555.17</v>
          </cell>
          <cell r="G19">
            <v>3555.17</v>
          </cell>
          <cell r="I19" t="str">
            <v xml:space="preserve">   Institutional Member Months Total</v>
          </cell>
          <cell r="J19">
            <v>0</v>
          </cell>
          <cell r="K19">
            <v>8039.7100000000009</v>
          </cell>
          <cell r="L19">
            <v>0</v>
          </cell>
          <cell r="M19">
            <v>718.40000000000009</v>
          </cell>
          <cell r="N19">
            <v>0</v>
          </cell>
          <cell r="O19">
            <v>8758.11</v>
          </cell>
          <cell r="Q19" t="str">
            <v xml:space="preserve">   Institutional Member Months Total</v>
          </cell>
          <cell r="R19">
            <v>0</v>
          </cell>
          <cell r="S19">
            <v>8039.7100000000009</v>
          </cell>
          <cell r="T19">
            <v>0</v>
          </cell>
          <cell r="U19">
            <v>718.40000000000009</v>
          </cell>
          <cell r="V19">
            <v>0</v>
          </cell>
          <cell r="W19">
            <v>8758.11</v>
          </cell>
          <cell r="Y19" t="str">
            <v xml:space="preserve">   Institutional Member Months Total</v>
          </cell>
          <cell r="Z19">
            <v>0</v>
          </cell>
          <cell r="AA19">
            <v>8039.7100000000009</v>
          </cell>
          <cell r="AB19">
            <v>0</v>
          </cell>
          <cell r="AC19">
            <v>718.40000000000009</v>
          </cell>
          <cell r="AD19">
            <v>0</v>
          </cell>
          <cell r="AE19">
            <v>8758.11</v>
          </cell>
        </row>
        <row r="20">
          <cell r="A20" t="str">
            <v xml:space="preserve">   1.  Level I</v>
          </cell>
          <cell r="B20">
            <v>2019.4600000000003</v>
          </cell>
          <cell r="C20">
            <v>2019.4600000000003</v>
          </cell>
          <cell r="D20">
            <v>169</v>
          </cell>
          <cell r="E20">
            <v>169</v>
          </cell>
          <cell r="F20">
            <v>2188.46</v>
          </cell>
          <cell r="G20">
            <v>2188.46</v>
          </cell>
          <cell r="I20" t="str">
            <v xml:space="preserve">   1.  Level I</v>
          </cell>
          <cell r="J20">
            <v>0</v>
          </cell>
          <cell r="K20">
            <v>4965.1399999999994</v>
          </cell>
          <cell r="L20">
            <v>0</v>
          </cell>
          <cell r="M20">
            <v>442.84000000000003</v>
          </cell>
          <cell r="N20">
            <v>0</v>
          </cell>
          <cell r="O20">
            <v>5407.98</v>
          </cell>
          <cell r="Q20" t="str">
            <v xml:space="preserve">   1.  Level I</v>
          </cell>
          <cell r="R20">
            <v>0</v>
          </cell>
          <cell r="S20">
            <v>4965.1399999999994</v>
          </cell>
          <cell r="T20">
            <v>0</v>
          </cell>
          <cell r="U20">
            <v>442.84000000000003</v>
          </cell>
          <cell r="V20">
            <v>0</v>
          </cell>
          <cell r="W20">
            <v>5407.98</v>
          </cell>
          <cell r="Y20" t="str">
            <v xml:space="preserve">   1.  Level I</v>
          </cell>
          <cell r="Z20">
            <v>0</v>
          </cell>
          <cell r="AA20">
            <v>4965.1399999999994</v>
          </cell>
          <cell r="AB20">
            <v>0</v>
          </cell>
          <cell r="AC20">
            <v>442.84000000000003</v>
          </cell>
          <cell r="AD20">
            <v>0</v>
          </cell>
          <cell r="AE20">
            <v>5407.98</v>
          </cell>
        </row>
        <row r="21">
          <cell r="A21" t="str">
            <v xml:space="preserve">   2.  Level II</v>
          </cell>
          <cell r="B21">
            <v>1092.7</v>
          </cell>
          <cell r="C21">
            <v>1092.7</v>
          </cell>
          <cell r="D21">
            <v>72.27</v>
          </cell>
          <cell r="E21">
            <v>72.27</v>
          </cell>
          <cell r="F21">
            <v>1164.97</v>
          </cell>
          <cell r="G21">
            <v>1164.97</v>
          </cell>
          <cell r="I21" t="str">
            <v xml:space="preserve">   2.  Level II</v>
          </cell>
          <cell r="J21">
            <v>0</v>
          </cell>
          <cell r="K21">
            <v>2657.8599999999997</v>
          </cell>
          <cell r="L21">
            <v>0</v>
          </cell>
          <cell r="M21">
            <v>195.09</v>
          </cell>
          <cell r="N21">
            <v>0</v>
          </cell>
          <cell r="O21">
            <v>2852.95</v>
          </cell>
          <cell r="Q21" t="str">
            <v xml:space="preserve">   2.  Level II</v>
          </cell>
          <cell r="R21">
            <v>0</v>
          </cell>
          <cell r="S21">
            <v>2657.8599999999997</v>
          </cell>
          <cell r="T21">
            <v>0</v>
          </cell>
          <cell r="U21">
            <v>195.09</v>
          </cell>
          <cell r="V21">
            <v>0</v>
          </cell>
          <cell r="W21">
            <v>2852.95</v>
          </cell>
          <cell r="Y21" t="str">
            <v xml:space="preserve">   2.  Level II</v>
          </cell>
          <cell r="Z21">
            <v>0</v>
          </cell>
          <cell r="AA21">
            <v>2657.8599999999997</v>
          </cell>
          <cell r="AB21">
            <v>0</v>
          </cell>
          <cell r="AC21">
            <v>195.09</v>
          </cell>
          <cell r="AD21">
            <v>0</v>
          </cell>
          <cell r="AE21">
            <v>2852.95</v>
          </cell>
        </row>
        <row r="22">
          <cell r="A22" t="str">
            <v xml:space="preserve">   3.  Level III</v>
          </cell>
          <cell r="B22">
            <v>169.70999999999998</v>
          </cell>
          <cell r="C22">
            <v>169.70999999999998</v>
          </cell>
          <cell r="D22">
            <v>23.94</v>
          </cell>
          <cell r="E22">
            <v>23.94</v>
          </cell>
          <cell r="F22">
            <v>193.65</v>
          </cell>
          <cell r="G22">
            <v>193.65</v>
          </cell>
          <cell r="I22" t="str">
            <v xml:space="preserve">   3.  Level III</v>
          </cell>
          <cell r="J22">
            <v>0</v>
          </cell>
          <cell r="K22">
            <v>408.74</v>
          </cell>
          <cell r="L22">
            <v>0</v>
          </cell>
          <cell r="M22">
            <v>66.5</v>
          </cell>
          <cell r="N22">
            <v>0</v>
          </cell>
          <cell r="O22">
            <v>475.24</v>
          </cell>
          <cell r="Q22" t="str">
            <v xml:space="preserve">   3.  Level III</v>
          </cell>
          <cell r="R22">
            <v>0</v>
          </cell>
          <cell r="S22">
            <v>408.74</v>
          </cell>
          <cell r="T22">
            <v>0</v>
          </cell>
          <cell r="U22">
            <v>66.5</v>
          </cell>
          <cell r="V22">
            <v>0</v>
          </cell>
          <cell r="W22">
            <v>475.24</v>
          </cell>
          <cell r="Y22" t="str">
            <v xml:space="preserve">   3.  Level III</v>
          </cell>
          <cell r="Z22">
            <v>0</v>
          </cell>
          <cell r="AA22">
            <v>408.74</v>
          </cell>
          <cell r="AB22">
            <v>0</v>
          </cell>
          <cell r="AC22">
            <v>66.5</v>
          </cell>
          <cell r="AD22">
            <v>0</v>
          </cell>
          <cell r="AE22">
            <v>475.24</v>
          </cell>
        </row>
        <row r="23">
          <cell r="A23" t="str">
            <v xml:space="preserve">   4.  Level IV</v>
          </cell>
          <cell r="B23">
            <v>3.03</v>
          </cell>
          <cell r="C23">
            <v>3.03</v>
          </cell>
          <cell r="D23">
            <v>5.0599999999999996</v>
          </cell>
          <cell r="E23">
            <v>5.0599999999999996</v>
          </cell>
          <cell r="F23">
            <v>8.09</v>
          </cell>
          <cell r="G23">
            <v>8.09</v>
          </cell>
          <cell r="I23" t="str">
            <v xml:space="preserve">   4.  Level IV</v>
          </cell>
          <cell r="J23">
            <v>0</v>
          </cell>
          <cell r="K23">
            <v>7.97</v>
          </cell>
          <cell r="L23">
            <v>0</v>
          </cell>
          <cell r="M23">
            <v>13.969999999999999</v>
          </cell>
          <cell r="N23">
            <v>0</v>
          </cell>
          <cell r="O23">
            <v>21.939999999999998</v>
          </cell>
          <cell r="Q23" t="str">
            <v xml:space="preserve">   4.  Level IV</v>
          </cell>
          <cell r="R23">
            <v>0</v>
          </cell>
          <cell r="S23">
            <v>7.97</v>
          </cell>
          <cell r="T23">
            <v>0</v>
          </cell>
          <cell r="U23">
            <v>13.969999999999999</v>
          </cell>
          <cell r="V23">
            <v>0</v>
          </cell>
          <cell r="W23">
            <v>21.939999999999998</v>
          </cell>
          <cell r="Y23" t="str">
            <v xml:space="preserve">   4.  Level IV</v>
          </cell>
          <cell r="Z23">
            <v>0</v>
          </cell>
          <cell r="AA23">
            <v>7.97</v>
          </cell>
          <cell r="AB23">
            <v>0</v>
          </cell>
          <cell r="AC23">
            <v>13.969999999999999</v>
          </cell>
          <cell r="AD23">
            <v>0</v>
          </cell>
          <cell r="AE23">
            <v>21.939999999999998</v>
          </cell>
        </row>
        <row r="24">
          <cell r="A24" t="str">
            <v xml:space="preserve">   5.</v>
          </cell>
          <cell r="I24" t="str">
            <v xml:space="preserve">   5.</v>
          </cell>
          <cell r="Q24" t="str">
            <v xml:space="preserve">   5.</v>
          </cell>
          <cell r="Y24" t="str">
            <v xml:space="preserve">   5.</v>
          </cell>
        </row>
        <row r="25">
          <cell r="A25" t="str">
            <v xml:space="preserve">   6.</v>
          </cell>
          <cell r="I25" t="str">
            <v xml:space="preserve">   6.</v>
          </cell>
          <cell r="Q25" t="str">
            <v xml:space="preserve">   6.</v>
          </cell>
          <cell r="Y25" t="str">
            <v xml:space="preserve">   6.</v>
          </cell>
        </row>
        <row r="26">
          <cell r="A26" t="str">
            <v xml:space="preserve">   7.  Home and Community Based Services (HCBS) Total</v>
          </cell>
          <cell r="B26">
            <v>3426.86</v>
          </cell>
          <cell r="C26">
            <v>3426.86</v>
          </cell>
          <cell r="D26">
            <v>896.19</v>
          </cell>
          <cell r="E26">
            <v>896.19</v>
          </cell>
          <cell r="F26">
            <v>4323.0500000000011</v>
          </cell>
          <cell r="G26">
            <v>4323.0500000000011</v>
          </cell>
          <cell r="I26" t="str">
            <v xml:space="preserve">   7.  Home and Community Based Services (HCBS) Total</v>
          </cell>
          <cell r="J26">
            <v>0</v>
          </cell>
          <cell r="K26">
            <v>12009.18</v>
          </cell>
          <cell r="L26">
            <v>0</v>
          </cell>
          <cell r="M26">
            <v>2309.5999999999995</v>
          </cell>
          <cell r="N26">
            <v>0</v>
          </cell>
          <cell r="O26">
            <v>14318.78</v>
          </cell>
          <cell r="Q26" t="str">
            <v xml:space="preserve">   7.  Home and Community Based Services (HCBS) Total</v>
          </cell>
          <cell r="R26">
            <v>0</v>
          </cell>
          <cell r="S26">
            <v>12009.18</v>
          </cell>
          <cell r="T26">
            <v>0</v>
          </cell>
          <cell r="U26">
            <v>2309.5999999999995</v>
          </cell>
          <cell r="V26">
            <v>0</v>
          </cell>
          <cell r="W26">
            <v>14318.78</v>
          </cell>
          <cell r="Y26" t="str">
            <v xml:space="preserve">   7.  Home and Community Based Services (HCBS) Total</v>
          </cell>
          <cell r="Z26">
            <v>0</v>
          </cell>
          <cell r="AA26">
            <v>12009.18</v>
          </cell>
          <cell r="AB26">
            <v>0</v>
          </cell>
          <cell r="AC26">
            <v>2309.5999999999995</v>
          </cell>
          <cell r="AD26">
            <v>0</v>
          </cell>
          <cell r="AE26">
            <v>14318.78</v>
          </cell>
        </row>
        <row r="27">
          <cell r="A27" t="str">
            <v xml:space="preserve">       a.  Adult Foster Care</v>
          </cell>
          <cell r="B27">
            <v>73.87</v>
          </cell>
          <cell r="C27">
            <v>73.87</v>
          </cell>
          <cell r="D27">
            <v>12.94</v>
          </cell>
          <cell r="E27">
            <v>12.94</v>
          </cell>
          <cell r="F27">
            <v>86.809999999999988</v>
          </cell>
          <cell r="G27">
            <v>86.809999999999988</v>
          </cell>
          <cell r="I27" t="str">
            <v xml:space="preserve">       a.  Adult Foster Care</v>
          </cell>
          <cell r="J27">
            <v>0</v>
          </cell>
          <cell r="K27">
            <v>178.41</v>
          </cell>
          <cell r="L27">
            <v>0</v>
          </cell>
          <cell r="M27">
            <v>32.94</v>
          </cell>
          <cell r="N27">
            <v>0</v>
          </cell>
          <cell r="O27">
            <v>211.34999999999997</v>
          </cell>
          <cell r="Q27" t="str">
            <v xml:space="preserve">       a.  Adult Foster Care</v>
          </cell>
          <cell r="R27">
            <v>0</v>
          </cell>
          <cell r="S27">
            <v>178.41</v>
          </cell>
          <cell r="T27">
            <v>0</v>
          </cell>
          <cell r="U27">
            <v>32.94</v>
          </cell>
          <cell r="V27">
            <v>0</v>
          </cell>
          <cell r="W27">
            <v>211.34999999999997</v>
          </cell>
          <cell r="Y27" t="str">
            <v xml:space="preserve">       a.  Adult Foster Care</v>
          </cell>
          <cell r="Z27">
            <v>0</v>
          </cell>
          <cell r="AA27">
            <v>178.41</v>
          </cell>
          <cell r="AB27">
            <v>0</v>
          </cell>
          <cell r="AC27">
            <v>32.94</v>
          </cell>
          <cell r="AD27">
            <v>0</v>
          </cell>
          <cell r="AE27">
            <v>211.34999999999997</v>
          </cell>
        </row>
        <row r="28">
          <cell r="A28" t="str">
            <v xml:space="preserve">       b.  Assisted Living Home (Adult Care Home)</v>
          </cell>
          <cell r="B28">
            <v>920.54</v>
          </cell>
          <cell r="C28">
            <v>920.54</v>
          </cell>
          <cell r="D28">
            <v>57.81</v>
          </cell>
          <cell r="E28">
            <v>57.81</v>
          </cell>
          <cell r="F28">
            <v>978.35</v>
          </cell>
          <cell r="G28">
            <v>978.35</v>
          </cell>
          <cell r="I28" t="str">
            <v xml:space="preserve">       b.  Assisted Living Home (Adult Care Home)</v>
          </cell>
          <cell r="J28">
            <v>0</v>
          </cell>
          <cell r="K28">
            <v>2187.61</v>
          </cell>
          <cell r="L28">
            <v>0</v>
          </cell>
          <cell r="M28">
            <v>159.81</v>
          </cell>
          <cell r="N28">
            <v>0</v>
          </cell>
          <cell r="O28">
            <v>2347.42</v>
          </cell>
          <cell r="Q28" t="str">
            <v xml:space="preserve">       b.  Assisted Living Home (Adult Care Home)</v>
          </cell>
          <cell r="R28">
            <v>0</v>
          </cell>
          <cell r="S28">
            <v>2187.61</v>
          </cell>
          <cell r="T28">
            <v>0</v>
          </cell>
          <cell r="U28">
            <v>159.81</v>
          </cell>
          <cell r="V28">
            <v>0</v>
          </cell>
          <cell r="W28">
            <v>2347.42</v>
          </cell>
          <cell r="Y28" t="str">
            <v xml:space="preserve">       b.  Assisted Living Home (Adult Care Home)</v>
          </cell>
          <cell r="Z28">
            <v>0</v>
          </cell>
          <cell r="AA28">
            <v>2187.61</v>
          </cell>
          <cell r="AB28">
            <v>0</v>
          </cell>
          <cell r="AC28">
            <v>159.81</v>
          </cell>
          <cell r="AD28">
            <v>0</v>
          </cell>
          <cell r="AE28">
            <v>2347.42</v>
          </cell>
        </row>
        <row r="29">
          <cell r="A29" t="str">
            <v xml:space="preserve">       c.  Group Home (DD)</v>
          </cell>
          <cell r="B29">
            <v>2.0299999999999998</v>
          </cell>
          <cell r="C29">
            <v>2.0299999999999998</v>
          </cell>
          <cell r="D29">
            <v>0</v>
          </cell>
          <cell r="E29">
            <v>0</v>
          </cell>
          <cell r="F29">
            <v>2.0299999999999998</v>
          </cell>
          <cell r="G29">
            <v>2.0299999999999998</v>
          </cell>
          <cell r="I29" t="str">
            <v xml:space="preserve">       c.  Group Home (DD)</v>
          </cell>
          <cell r="J29">
            <v>0</v>
          </cell>
          <cell r="K29">
            <v>4.0299999999999994</v>
          </cell>
          <cell r="L29">
            <v>0</v>
          </cell>
          <cell r="M29">
            <v>0</v>
          </cell>
          <cell r="N29">
            <v>0</v>
          </cell>
          <cell r="O29">
            <v>4.0299999999999994</v>
          </cell>
          <cell r="Q29" t="str">
            <v xml:space="preserve">       c.  Group Home (DD)</v>
          </cell>
          <cell r="R29">
            <v>0</v>
          </cell>
          <cell r="S29">
            <v>4.0299999999999994</v>
          </cell>
          <cell r="T29">
            <v>0</v>
          </cell>
          <cell r="U29">
            <v>0</v>
          </cell>
          <cell r="V29">
            <v>0</v>
          </cell>
          <cell r="W29">
            <v>4.0299999999999994</v>
          </cell>
          <cell r="Y29" t="str">
            <v xml:space="preserve">       c.  Group Home (DD)</v>
          </cell>
          <cell r="Z29">
            <v>0</v>
          </cell>
          <cell r="AA29">
            <v>4.0299999999999994</v>
          </cell>
          <cell r="AB29">
            <v>0</v>
          </cell>
          <cell r="AC29">
            <v>0</v>
          </cell>
          <cell r="AD29">
            <v>0</v>
          </cell>
          <cell r="AE29">
            <v>4.0299999999999994</v>
          </cell>
        </row>
        <row r="30">
          <cell r="A30" t="str">
            <v xml:space="preserve">       d.  Individual Home</v>
          </cell>
          <cell r="B30">
            <v>-165.25999999999965</v>
          </cell>
          <cell r="C30">
            <v>-165.25999999999965</v>
          </cell>
          <cell r="D30">
            <v>444.81</v>
          </cell>
          <cell r="E30">
            <v>444.81</v>
          </cell>
          <cell r="F30">
            <v>279.5500000000003</v>
          </cell>
          <cell r="G30">
            <v>279.5500000000003</v>
          </cell>
          <cell r="I30" t="str">
            <v xml:space="preserve">       d.  Individual Home</v>
          </cell>
          <cell r="J30">
            <v>0</v>
          </cell>
          <cell r="K30">
            <v>3287.0699999999997</v>
          </cell>
          <cell r="L30">
            <v>0</v>
          </cell>
          <cell r="M30">
            <v>1141.04</v>
          </cell>
          <cell r="N30">
            <v>0</v>
          </cell>
          <cell r="O30">
            <v>4428.1100000000006</v>
          </cell>
          <cell r="Q30" t="str">
            <v xml:space="preserve">       d.  Individual Home</v>
          </cell>
          <cell r="R30">
            <v>0</v>
          </cell>
          <cell r="S30">
            <v>3287.0699999999997</v>
          </cell>
          <cell r="T30">
            <v>0</v>
          </cell>
          <cell r="U30">
            <v>1141.04</v>
          </cell>
          <cell r="V30">
            <v>0</v>
          </cell>
          <cell r="W30">
            <v>4428.1100000000006</v>
          </cell>
          <cell r="Y30" t="str">
            <v xml:space="preserve">       d.  Individual Home</v>
          </cell>
          <cell r="Z30">
            <v>0</v>
          </cell>
          <cell r="AA30">
            <v>3287.0699999999997</v>
          </cell>
          <cell r="AB30">
            <v>0</v>
          </cell>
          <cell r="AC30">
            <v>1141.04</v>
          </cell>
          <cell r="AD30">
            <v>0</v>
          </cell>
          <cell r="AE30">
            <v>4428.1100000000006</v>
          </cell>
        </row>
        <row r="31">
          <cell r="A31" t="str">
            <v xml:space="preserve">       e.  Assisted Living Centers (SRL)</v>
          </cell>
          <cell r="B31">
            <v>1214.74</v>
          </cell>
          <cell r="C31">
            <v>1214.74</v>
          </cell>
          <cell r="D31">
            <v>84.429999999999993</v>
          </cell>
          <cell r="E31">
            <v>84.429999999999993</v>
          </cell>
          <cell r="F31">
            <v>1299.1699999999998</v>
          </cell>
          <cell r="G31">
            <v>1299.1699999999998</v>
          </cell>
          <cell r="I31" t="str">
            <v xml:space="preserve">       e.  Assisted Living Centers (SRL)</v>
          </cell>
          <cell r="J31">
            <v>0</v>
          </cell>
          <cell r="K31">
            <v>2881.63</v>
          </cell>
          <cell r="L31">
            <v>0</v>
          </cell>
          <cell r="M31">
            <v>223.98000000000002</v>
          </cell>
          <cell r="N31">
            <v>0</v>
          </cell>
          <cell r="O31">
            <v>3105.6099999999997</v>
          </cell>
          <cell r="Q31" t="str">
            <v xml:space="preserve">       e.  Assisted Living Centers (SRL)</v>
          </cell>
          <cell r="R31">
            <v>0</v>
          </cell>
          <cell r="S31">
            <v>2881.63</v>
          </cell>
          <cell r="T31">
            <v>0</v>
          </cell>
          <cell r="U31">
            <v>223.98000000000002</v>
          </cell>
          <cell r="V31">
            <v>0</v>
          </cell>
          <cell r="W31">
            <v>3105.6099999999997</v>
          </cell>
          <cell r="Y31" t="str">
            <v xml:space="preserve">       e.  Assisted Living Centers (SRL)</v>
          </cell>
          <cell r="Z31">
            <v>0</v>
          </cell>
          <cell r="AA31">
            <v>2881.63</v>
          </cell>
          <cell r="AB31">
            <v>0</v>
          </cell>
          <cell r="AC31">
            <v>223.98000000000002</v>
          </cell>
          <cell r="AD31">
            <v>0</v>
          </cell>
          <cell r="AE31">
            <v>3105.6099999999997</v>
          </cell>
        </row>
        <row r="32">
          <cell r="A32" t="str">
            <v xml:space="preserve">       f.  Other (Hospice)</v>
          </cell>
          <cell r="B32">
            <v>144.72999999999999</v>
          </cell>
          <cell r="C32">
            <v>144.72999999999999</v>
          </cell>
          <cell r="D32">
            <v>7.1400000000000006</v>
          </cell>
          <cell r="E32">
            <v>7.1400000000000006</v>
          </cell>
          <cell r="F32">
            <v>151.87</v>
          </cell>
          <cell r="G32">
            <v>151.87</v>
          </cell>
          <cell r="I32" t="str">
            <v xml:space="preserve">       f.  Other (Hospice)</v>
          </cell>
          <cell r="J32">
            <v>0</v>
          </cell>
          <cell r="K32">
            <v>353.15000000000003</v>
          </cell>
          <cell r="L32">
            <v>0</v>
          </cell>
          <cell r="M32">
            <v>18.22</v>
          </cell>
          <cell r="N32">
            <v>0</v>
          </cell>
          <cell r="O32">
            <v>371.37</v>
          </cell>
          <cell r="Q32" t="str">
            <v xml:space="preserve">       f.  Other (Hospice)</v>
          </cell>
          <cell r="R32">
            <v>0</v>
          </cell>
          <cell r="S32">
            <v>353.15000000000003</v>
          </cell>
          <cell r="T32">
            <v>0</v>
          </cell>
          <cell r="U32">
            <v>18.22</v>
          </cell>
          <cell r="V32">
            <v>0</v>
          </cell>
          <cell r="W32">
            <v>371.37</v>
          </cell>
          <cell r="Y32" t="str">
            <v xml:space="preserve">       f.  Other (Hospice)</v>
          </cell>
          <cell r="Z32">
            <v>0</v>
          </cell>
          <cell r="AA32">
            <v>353.15000000000003</v>
          </cell>
          <cell r="AB32">
            <v>0</v>
          </cell>
          <cell r="AC32">
            <v>18.22</v>
          </cell>
          <cell r="AD32">
            <v>0</v>
          </cell>
          <cell r="AE32">
            <v>371.37</v>
          </cell>
        </row>
        <row r="33">
          <cell r="A33" t="str">
            <v xml:space="preserve">       g.  Attendant Care</v>
          </cell>
          <cell r="B33">
            <v>1236.21</v>
          </cell>
          <cell r="C33">
            <v>1236.21</v>
          </cell>
          <cell r="D33">
            <v>289.06</v>
          </cell>
          <cell r="E33">
            <v>289.06</v>
          </cell>
          <cell r="F33">
            <v>1525.27</v>
          </cell>
          <cell r="G33">
            <v>1525.27</v>
          </cell>
          <cell r="I33" t="str">
            <v xml:space="preserve">       g.  Attendant Care</v>
          </cell>
          <cell r="J33">
            <v>0</v>
          </cell>
          <cell r="K33">
            <v>3117.28</v>
          </cell>
          <cell r="L33">
            <v>0</v>
          </cell>
          <cell r="M33">
            <v>733.61</v>
          </cell>
          <cell r="N33">
            <v>0</v>
          </cell>
          <cell r="O33">
            <v>3850.8900000000003</v>
          </cell>
          <cell r="Q33" t="str">
            <v xml:space="preserve">       g.  Attendant Care</v>
          </cell>
          <cell r="R33">
            <v>0</v>
          </cell>
          <cell r="S33">
            <v>3117.28</v>
          </cell>
          <cell r="T33">
            <v>0</v>
          </cell>
          <cell r="U33">
            <v>733.61</v>
          </cell>
          <cell r="V33">
            <v>0</v>
          </cell>
          <cell r="W33">
            <v>3850.8900000000003</v>
          </cell>
          <cell r="Y33" t="str">
            <v xml:space="preserve">       g.  Attendant Care</v>
          </cell>
          <cell r="Z33">
            <v>0</v>
          </cell>
          <cell r="AA33">
            <v>3117.28</v>
          </cell>
          <cell r="AB33">
            <v>0</v>
          </cell>
          <cell r="AC33">
            <v>733.61</v>
          </cell>
          <cell r="AD33">
            <v>0</v>
          </cell>
          <cell r="AE33">
            <v>3850.8900000000003</v>
          </cell>
        </row>
        <row r="34">
          <cell r="A34" t="str">
            <v xml:space="preserve">   8.  Acute Care</v>
          </cell>
          <cell r="B34">
            <v>62.08</v>
          </cell>
          <cell r="C34">
            <v>62.08</v>
          </cell>
          <cell r="D34">
            <v>38.1</v>
          </cell>
          <cell r="E34">
            <v>38.1</v>
          </cell>
          <cell r="F34">
            <v>100.18</v>
          </cell>
          <cell r="G34">
            <v>100.18</v>
          </cell>
          <cell r="I34" t="str">
            <v xml:space="preserve">   8.  Acute Care</v>
          </cell>
          <cell r="J34">
            <v>0</v>
          </cell>
          <cell r="K34">
            <v>153.07999999999998</v>
          </cell>
          <cell r="L34">
            <v>0</v>
          </cell>
          <cell r="M34">
            <v>96.039999999999992</v>
          </cell>
          <cell r="N34">
            <v>0</v>
          </cell>
          <cell r="O34">
            <v>249.11999999999998</v>
          </cell>
          <cell r="Q34" t="str">
            <v xml:space="preserve">   8.  Acute Care</v>
          </cell>
          <cell r="R34">
            <v>0</v>
          </cell>
          <cell r="S34">
            <v>153.07999999999998</v>
          </cell>
          <cell r="T34">
            <v>0</v>
          </cell>
          <cell r="U34">
            <v>96.039999999999992</v>
          </cell>
          <cell r="V34">
            <v>0</v>
          </cell>
          <cell r="W34">
            <v>249.11999999999998</v>
          </cell>
          <cell r="Y34" t="str">
            <v xml:space="preserve">   8.  Acute Care</v>
          </cell>
          <cell r="Z34">
            <v>0</v>
          </cell>
          <cell r="AA34">
            <v>153.07999999999998</v>
          </cell>
          <cell r="AB34">
            <v>0</v>
          </cell>
          <cell r="AC34">
            <v>96.039999999999992</v>
          </cell>
          <cell r="AD34">
            <v>0</v>
          </cell>
          <cell r="AE34">
            <v>249.11999999999998</v>
          </cell>
        </row>
        <row r="35">
          <cell r="A35" t="str">
            <v xml:space="preserve">   9.  Ventilator</v>
          </cell>
          <cell r="B35">
            <v>28.26</v>
          </cell>
          <cell r="C35">
            <v>28.26</v>
          </cell>
          <cell r="D35">
            <v>26.84</v>
          </cell>
          <cell r="E35">
            <v>26.84</v>
          </cell>
          <cell r="F35">
            <v>55.1</v>
          </cell>
          <cell r="G35">
            <v>55.1</v>
          </cell>
          <cell r="I35" t="str">
            <v xml:space="preserve">   9.  Ventilator</v>
          </cell>
          <cell r="J35">
            <v>0</v>
          </cell>
          <cell r="K35">
            <v>72.25</v>
          </cell>
          <cell r="L35">
            <v>0</v>
          </cell>
          <cell r="M35">
            <v>65.510000000000005</v>
          </cell>
          <cell r="N35">
            <v>0</v>
          </cell>
          <cell r="O35">
            <v>137.76</v>
          </cell>
          <cell r="Q35" t="str">
            <v xml:space="preserve">   9.  Ventilator</v>
          </cell>
          <cell r="R35">
            <v>0</v>
          </cell>
          <cell r="S35">
            <v>72.25</v>
          </cell>
          <cell r="T35">
            <v>0</v>
          </cell>
          <cell r="U35">
            <v>65.510000000000005</v>
          </cell>
          <cell r="V35">
            <v>0</v>
          </cell>
          <cell r="W35">
            <v>137.76</v>
          </cell>
          <cell r="Y35" t="str">
            <v xml:space="preserve">   9.  Ventilator</v>
          </cell>
          <cell r="Z35">
            <v>0</v>
          </cell>
          <cell r="AA35">
            <v>72.25</v>
          </cell>
          <cell r="AB35">
            <v>0</v>
          </cell>
          <cell r="AC35">
            <v>65.510000000000005</v>
          </cell>
          <cell r="AD35">
            <v>0</v>
          </cell>
          <cell r="AE35">
            <v>137.76</v>
          </cell>
        </row>
        <row r="36">
          <cell r="A36" t="str">
            <v xml:space="preserve">  10.  Prior Period</v>
          </cell>
          <cell r="B36">
            <v>228.01909999999998</v>
          </cell>
          <cell r="C36">
            <v>228.01909999999998</v>
          </cell>
          <cell r="D36">
            <v>7.8708999999999998</v>
          </cell>
          <cell r="E36">
            <v>7.8708999999999998</v>
          </cell>
          <cell r="F36">
            <v>235.89000000000001</v>
          </cell>
          <cell r="G36">
            <v>235.89000000000001</v>
          </cell>
          <cell r="I36" t="str">
            <v xml:space="preserve">  10.  Prior Period</v>
          </cell>
          <cell r="J36">
            <v>0</v>
          </cell>
          <cell r="K36">
            <v>685.04200000000003</v>
          </cell>
          <cell r="L36">
            <v>0</v>
          </cell>
          <cell r="M36">
            <v>50.458000000000006</v>
          </cell>
          <cell r="N36">
            <v>0</v>
          </cell>
          <cell r="O36">
            <v>735.50000000000011</v>
          </cell>
          <cell r="Q36" t="str">
            <v xml:space="preserve">  10.  Prior Period</v>
          </cell>
          <cell r="R36">
            <v>0</v>
          </cell>
          <cell r="S36">
            <v>685.04200000000003</v>
          </cell>
          <cell r="T36">
            <v>0</v>
          </cell>
          <cell r="U36">
            <v>50.458000000000006</v>
          </cell>
          <cell r="V36">
            <v>0</v>
          </cell>
          <cell r="W36">
            <v>735.50000000000011</v>
          </cell>
          <cell r="Y36" t="str">
            <v xml:space="preserve">  10.  Prior Period</v>
          </cell>
          <cell r="Z36">
            <v>0</v>
          </cell>
          <cell r="AA36">
            <v>685.04200000000003</v>
          </cell>
          <cell r="AB36">
            <v>0</v>
          </cell>
          <cell r="AC36">
            <v>50.458000000000006</v>
          </cell>
          <cell r="AD36">
            <v>0</v>
          </cell>
          <cell r="AE36">
            <v>735.50000000000011</v>
          </cell>
        </row>
        <row r="37">
          <cell r="A37" t="str">
            <v xml:space="preserve">  11.  Other - Not Placed</v>
          </cell>
          <cell r="B37">
            <v>-809.43999999999801</v>
          </cell>
          <cell r="C37">
            <v>-809.43999999999801</v>
          </cell>
          <cell r="D37">
            <v>-108.18</v>
          </cell>
          <cell r="E37">
            <v>-108.18</v>
          </cell>
          <cell r="F37">
            <v>-917.61999999999807</v>
          </cell>
          <cell r="G37">
            <v>-917.61999999999807</v>
          </cell>
          <cell r="I37" t="str">
            <v xml:space="preserve">  11.  Other - Not Placed</v>
          </cell>
          <cell r="J37">
            <v>0</v>
          </cell>
          <cell r="K37">
            <v>-1937.4099999999978</v>
          </cell>
          <cell r="L37">
            <v>0</v>
          </cell>
          <cell r="M37">
            <v>-277.03999999999996</v>
          </cell>
          <cell r="N37">
            <v>0</v>
          </cell>
          <cell r="O37">
            <v>-2214.449999999998</v>
          </cell>
          <cell r="Q37" t="str">
            <v xml:space="preserve">  11.  Other - Not Placed</v>
          </cell>
          <cell r="R37">
            <v>0</v>
          </cell>
          <cell r="S37">
            <v>-1937.4099999999978</v>
          </cell>
          <cell r="T37">
            <v>0</v>
          </cell>
          <cell r="U37">
            <v>-277.03999999999996</v>
          </cell>
          <cell r="V37">
            <v>0</v>
          </cell>
          <cell r="W37">
            <v>-2214.449999999998</v>
          </cell>
          <cell r="Y37" t="str">
            <v xml:space="preserve">  11.  Other - Not Placed</v>
          </cell>
          <cell r="Z37">
            <v>0</v>
          </cell>
          <cell r="AA37">
            <v>-1937.4099999999978</v>
          </cell>
          <cell r="AB37">
            <v>0</v>
          </cell>
          <cell r="AC37">
            <v>-277.03999999999996</v>
          </cell>
          <cell r="AD37">
            <v>0</v>
          </cell>
          <cell r="AE37">
            <v>-2214.449999999998</v>
          </cell>
        </row>
        <row r="39">
          <cell r="A39" t="str">
            <v>C.   Acute Patient Day Information</v>
          </cell>
          <cell r="I39" t="str">
            <v>C.   Acute Patient Day Information</v>
          </cell>
          <cell r="Q39" t="str">
            <v>C.   Acute Patient Day Information</v>
          </cell>
          <cell r="Y39" t="str">
            <v>C.   Acute Patient Day Information</v>
          </cell>
        </row>
        <row r="40">
          <cell r="A40" t="str">
            <v xml:space="preserve">       a.  Admissions</v>
          </cell>
          <cell r="B40">
            <v>358</v>
          </cell>
          <cell r="C40">
            <v>358</v>
          </cell>
          <cell r="D40">
            <v>81</v>
          </cell>
          <cell r="E40">
            <v>81</v>
          </cell>
          <cell r="F40">
            <v>439</v>
          </cell>
          <cell r="G40">
            <v>439</v>
          </cell>
          <cell r="I40" t="str">
            <v xml:space="preserve">       a.  Admissions</v>
          </cell>
          <cell r="J40">
            <v>0</v>
          </cell>
          <cell r="K40">
            <v>1121</v>
          </cell>
          <cell r="L40">
            <v>0</v>
          </cell>
          <cell r="M40">
            <v>211</v>
          </cell>
          <cell r="N40">
            <v>0</v>
          </cell>
          <cell r="O40">
            <v>1332</v>
          </cell>
          <cell r="Q40" t="str">
            <v xml:space="preserve">       a.  Admissions</v>
          </cell>
          <cell r="R40">
            <v>0</v>
          </cell>
          <cell r="S40">
            <v>1121</v>
          </cell>
          <cell r="T40">
            <v>0</v>
          </cell>
          <cell r="U40">
            <v>211</v>
          </cell>
          <cell r="V40">
            <v>0</v>
          </cell>
          <cell r="W40">
            <v>1332</v>
          </cell>
          <cell r="Y40" t="str">
            <v xml:space="preserve">       a.  Admissions</v>
          </cell>
          <cell r="Z40">
            <v>0</v>
          </cell>
          <cell r="AA40">
            <v>1121</v>
          </cell>
          <cell r="AB40">
            <v>0</v>
          </cell>
          <cell r="AC40">
            <v>211</v>
          </cell>
          <cell r="AD40">
            <v>0</v>
          </cell>
          <cell r="AE40">
            <v>1332</v>
          </cell>
        </row>
        <row r="41">
          <cell r="A41" t="str">
            <v xml:space="preserve">       b.  Patient Days</v>
          </cell>
          <cell r="B41">
            <v>1901</v>
          </cell>
          <cell r="C41">
            <v>1901</v>
          </cell>
          <cell r="D41">
            <v>474</v>
          </cell>
          <cell r="E41">
            <v>474</v>
          </cell>
          <cell r="F41">
            <v>2375</v>
          </cell>
          <cell r="G41">
            <v>2375</v>
          </cell>
          <cell r="I41" t="str">
            <v xml:space="preserve">       b.  Patient Days</v>
          </cell>
          <cell r="J41">
            <v>0</v>
          </cell>
          <cell r="K41">
            <v>6094</v>
          </cell>
          <cell r="L41">
            <v>0</v>
          </cell>
          <cell r="M41">
            <v>1231</v>
          </cell>
          <cell r="N41">
            <v>0</v>
          </cell>
          <cell r="O41">
            <v>7325</v>
          </cell>
          <cell r="Q41" t="str">
            <v xml:space="preserve">       b.  Patient Days</v>
          </cell>
          <cell r="R41">
            <v>0</v>
          </cell>
          <cell r="S41">
            <v>6094</v>
          </cell>
          <cell r="T41">
            <v>0</v>
          </cell>
          <cell r="U41">
            <v>1231</v>
          </cell>
          <cell r="V41">
            <v>0</v>
          </cell>
          <cell r="W41">
            <v>7325</v>
          </cell>
          <cell r="Y41" t="str">
            <v xml:space="preserve">       b.  Patient Days</v>
          </cell>
          <cell r="Z41">
            <v>0</v>
          </cell>
          <cell r="AA41">
            <v>6094</v>
          </cell>
          <cell r="AB41">
            <v>0</v>
          </cell>
          <cell r="AC41">
            <v>1231</v>
          </cell>
          <cell r="AD41">
            <v>0</v>
          </cell>
          <cell r="AE41">
            <v>7325</v>
          </cell>
        </row>
        <row r="42">
          <cell r="A42" t="str">
            <v xml:space="preserve">       c.  Discharges</v>
          </cell>
          <cell r="B42">
            <v>334</v>
          </cell>
          <cell r="C42">
            <v>334</v>
          </cell>
          <cell r="D42">
            <v>77</v>
          </cell>
          <cell r="E42">
            <v>77</v>
          </cell>
          <cell r="F42">
            <v>411</v>
          </cell>
          <cell r="G42">
            <v>411</v>
          </cell>
          <cell r="I42" t="str">
            <v xml:space="preserve">       c.  Discharges</v>
          </cell>
          <cell r="J42">
            <v>0</v>
          </cell>
          <cell r="K42">
            <v>1069</v>
          </cell>
          <cell r="L42">
            <v>0</v>
          </cell>
          <cell r="M42">
            <v>198</v>
          </cell>
          <cell r="N42">
            <v>0</v>
          </cell>
          <cell r="O42">
            <v>1267</v>
          </cell>
          <cell r="Q42" t="str">
            <v xml:space="preserve">       c.  Discharges</v>
          </cell>
          <cell r="R42">
            <v>0</v>
          </cell>
          <cell r="S42">
            <v>1069</v>
          </cell>
          <cell r="T42">
            <v>0</v>
          </cell>
          <cell r="U42">
            <v>198</v>
          </cell>
          <cell r="V42">
            <v>0</v>
          </cell>
          <cell r="W42">
            <v>1267</v>
          </cell>
          <cell r="Y42" t="str">
            <v xml:space="preserve">       c.  Discharges</v>
          </cell>
          <cell r="Z42">
            <v>0</v>
          </cell>
          <cell r="AA42">
            <v>1069</v>
          </cell>
          <cell r="AB42">
            <v>0</v>
          </cell>
          <cell r="AC42">
            <v>198</v>
          </cell>
          <cell r="AD42">
            <v>0</v>
          </cell>
          <cell r="AE42">
            <v>1267</v>
          </cell>
        </row>
        <row r="43">
          <cell r="A43" t="str">
            <v xml:space="preserve">       d.  Discharge Days</v>
          </cell>
          <cell r="B43">
            <v>1441</v>
          </cell>
          <cell r="C43">
            <v>1441</v>
          </cell>
          <cell r="D43">
            <v>382</v>
          </cell>
          <cell r="E43">
            <v>382</v>
          </cell>
          <cell r="F43">
            <v>1823</v>
          </cell>
          <cell r="G43">
            <v>1823</v>
          </cell>
          <cell r="I43" t="str">
            <v xml:space="preserve">       d.  Discharge Days</v>
          </cell>
          <cell r="J43">
            <v>0</v>
          </cell>
          <cell r="K43">
            <v>4799</v>
          </cell>
          <cell r="L43">
            <v>0</v>
          </cell>
          <cell r="M43">
            <v>966</v>
          </cell>
          <cell r="N43">
            <v>0</v>
          </cell>
          <cell r="O43">
            <v>5765</v>
          </cell>
          <cell r="Q43" t="str">
            <v xml:space="preserve">       d.  Discharge Days</v>
          </cell>
          <cell r="R43">
            <v>0</v>
          </cell>
          <cell r="S43">
            <v>4799</v>
          </cell>
          <cell r="T43">
            <v>0</v>
          </cell>
          <cell r="U43">
            <v>966</v>
          </cell>
          <cell r="V43">
            <v>0</v>
          </cell>
          <cell r="W43">
            <v>5765</v>
          </cell>
          <cell r="Y43" t="str">
            <v xml:space="preserve">       d.  Discharge Days</v>
          </cell>
          <cell r="Z43">
            <v>0</v>
          </cell>
          <cell r="AA43">
            <v>4799</v>
          </cell>
          <cell r="AB43">
            <v>0</v>
          </cell>
          <cell r="AC43">
            <v>966</v>
          </cell>
          <cell r="AD43">
            <v>0</v>
          </cell>
          <cell r="AE43">
            <v>5765</v>
          </cell>
        </row>
        <row r="44">
          <cell r="A44" t="str">
            <v xml:space="preserve">       e.  Average Length of Stay</v>
          </cell>
          <cell r="B44">
            <v>4.3143712574850301</v>
          </cell>
          <cell r="C44">
            <v>4.3143712574850301</v>
          </cell>
          <cell r="D44">
            <v>4.9610389610389607</v>
          </cell>
          <cell r="E44">
            <v>4.9610389610389607</v>
          </cell>
          <cell r="F44">
            <v>4.4355231143552309</v>
          </cell>
          <cell r="G44">
            <v>4.4355231143552309</v>
          </cell>
          <cell r="I44" t="str">
            <v xml:space="preserve">       e.  Average Length of Stay</v>
          </cell>
          <cell r="J44">
            <v>0</v>
          </cell>
          <cell r="K44">
            <v>4.489242282507016</v>
          </cell>
          <cell r="L44">
            <v>0</v>
          </cell>
          <cell r="M44">
            <v>4.8787878787878789</v>
          </cell>
          <cell r="N44">
            <v>0</v>
          </cell>
          <cell r="O44">
            <v>4.5501183898973956</v>
          </cell>
          <cell r="Q44" t="str">
            <v xml:space="preserve">       e.  Average Length of Stay</v>
          </cell>
          <cell r="R44">
            <v>0</v>
          </cell>
          <cell r="S44">
            <v>4.489242282507016</v>
          </cell>
          <cell r="T44">
            <v>0</v>
          </cell>
          <cell r="U44">
            <v>4.8787878787878789</v>
          </cell>
          <cell r="V44">
            <v>0</v>
          </cell>
          <cell r="W44">
            <v>4.5501183898973956</v>
          </cell>
          <cell r="Y44" t="str">
            <v xml:space="preserve">       e.  Average Length of Stay</v>
          </cell>
          <cell r="Z44">
            <v>0</v>
          </cell>
          <cell r="AA44">
            <v>4.489242282507016</v>
          </cell>
          <cell r="AB44">
            <v>0</v>
          </cell>
          <cell r="AC44">
            <v>4.8787878787878789</v>
          </cell>
          <cell r="AD44">
            <v>0</v>
          </cell>
          <cell r="AE44">
            <v>4.5501183898973956</v>
          </cell>
        </row>
        <row r="46">
          <cell r="A46" t="str">
            <v>D.   Emergency Room Visits</v>
          </cell>
          <cell r="B46">
            <v>139</v>
          </cell>
          <cell r="C46">
            <v>139</v>
          </cell>
          <cell r="D46">
            <v>48</v>
          </cell>
          <cell r="E46">
            <v>48</v>
          </cell>
          <cell r="F46">
            <v>187</v>
          </cell>
          <cell r="G46">
            <v>187</v>
          </cell>
          <cell r="I46" t="str">
            <v>D.   Emergency Room Visits</v>
          </cell>
          <cell r="J46">
            <v>0</v>
          </cell>
          <cell r="K46">
            <v>454</v>
          </cell>
          <cell r="L46">
            <v>0</v>
          </cell>
          <cell r="M46">
            <v>199</v>
          </cell>
          <cell r="N46">
            <v>0</v>
          </cell>
          <cell r="O46">
            <v>653</v>
          </cell>
          <cell r="Q46" t="str">
            <v>D.   Emergency Room Visits</v>
          </cell>
          <cell r="R46">
            <v>0</v>
          </cell>
          <cell r="S46">
            <v>454</v>
          </cell>
          <cell r="T46">
            <v>0</v>
          </cell>
          <cell r="U46">
            <v>199</v>
          </cell>
          <cell r="V46">
            <v>0</v>
          </cell>
          <cell r="W46">
            <v>653</v>
          </cell>
          <cell r="Y46" t="str">
            <v>D.   Emergency Room Visits</v>
          </cell>
          <cell r="Z46">
            <v>0</v>
          </cell>
          <cell r="AA46">
            <v>454</v>
          </cell>
          <cell r="AB46">
            <v>0</v>
          </cell>
          <cell r="AC46">
            <v>199</v>
          </cell>
          <cell r="AD46">
            <v>0</v>
          </cell>
          <cell r="AE46">
            <v>653</v>
          </cell>
        </row>
        <row r="50">
          <cell r="A50" t="str">
            <v>Program Contractor Financial Reporting Systems - Report #11B Utilization Data Report for all Counties</v>
          </cell>
          <cell r="I50" t="str">
            <v>Program Contractor Financial Reporting Systems - Report #11B Utilization Data Report for all Counties</v>
          </cell>
          <cell r="Q50" t="str">
            <v>Program Contractor Financial Reporting Systems - Report #11B Utilization Data Report for all Counties</v>
          </cell>
          <cell r="Y50" t="str">
            <v>Program Contractor Financial Reporting Systems - Report #11B Utilization Data Report for all Counties</v>
          </cell>
        </row>
        <row r="52">
          <cell r="A52" t="str">
            <v>Statement for Program Contractor 110049 - Evercare of Arizona, Inc.</v>
          </cell>
          <cell r="I52" t="str">
            <v>Statement for Program Contractor 110049 - Evercare of Arizona, Inc.</v>
          </cell>
          <cell r="Q52" t="str">
            <v>Statement for Program Contractor 110049 - Evercare of Arizona, Inc.</v>
          </cell>
          <cell r="Y52" t="str">
            <v>Statement for Program Contractor 110049 - Evercare of Arizona, Inc.</v>
          </cell>
        </row>
        <row r="54">
          <cell r="A54" t="str">
            <v>For the Month ending 11/30/2005 in the Fiscal Year ending 9/30/2006</v>
          </cell>
          <cell r="F54" t="str">
            <v>Page 2 of 3</v>
          </cell>
          <cell r="I54" t="str">
            <v>For the Month ending 2/28/2006 in the Fiscal Year ending 9/30/2006</v>
          </cell>
          <cell r="N54" t="str">
            <v>Page 2 of 3</v>
          </cell>
          <cell r="Q54" t="str">
            <v>For the Month ending 5/31/2006 in the Fiscal Year ending 9/30/2006</v>
          </cell>
          <cell r="V54" t="str">
            <v>Page 2 of 3</v>
          </cell>
          <cell r="Y54" t="str">
            <v>For the Month ending 8/31/2006 in the Fiscal Year ending 9/30/2006</v>
          </cell>
          <cell r="AD54" t="str">
            <v>Page 2 of 3</v>
          </cell>
        </row>
        <row r="57">
          <cell r="A57" t="str">
            <v>Utilization Data Report for All Counties</v>
          </cell>
          <cell r="I57" t="str">
            <v>Utilization Data Report for All Counties</v>
          </cell>
          <cell r="Q57" t="str">
            <v>Utilization Data Report for All Counties</v>
          </cell>
          <cell r="Y57" t="str">
            <v>Utilization Data Report for All Counties</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row>
        <row r="62">
          <cell r="A62" t="str">
            <v>A.   Enrollees (At End of Period)</v>
          </cell>
          <cell r="B62">
            <v>6218</v>
          </cell>
          <cell r="D62">
            <v>950</v>
          </cell>
          <cell r="F62">
            <v>7168</v>
          </cell>
          <cell r="I62" t="str">
            <v>A.   Enrollees (At End of Period)</v>
          </cell>
          <cell r="J62">
            <v>0</v>
          </cell>
          <cell r="L62">
            <v>0</v>
          </cell>
          <cell r="N62">
            <v>0</v>
          </cell>
          <cell r="Q62" t="str">
            <v>A.   Enrollees (At End of Period)</v>
          </cell>
          <cell r="R62">
            <v>0</v>
          </cell>
          <cell r="T62">
            <v>0</v>
          </cell>
          <cell r="V62">
            <v>0</v>
          </cell>
          <cell r="Y62" t="str">
            <v>A.   Enrollees (At End of Period)</v>
          </cell>
          <cell r="Z62">
            <v>0</v>
          </cell>
          <cell r="AB62">
            <v>0</v>
          </cell>
          <cell r="AD62">
            <v>0</v>
          </cell>
        </row>
        <row r="64">
          <cell r="A64" t="str">
            <v>B.   Member Months (Unduplicated)</v>
          </cell>
          <cell r="B64">
            <v>6428.9865999999984</v>
          </cell>
          <cell r="C64">
            <v>12649.6657</v>
          </cell>
          <cell r="D64">
            <v>920.15339999999992</v>
          </cell>
          <cell r="E64">
            <v>2051.2442999999998</v>
          </cell>
          <cell r="F64">
            <v>7349.1399999999994</v>
          </cell>
          <cell r="G64">
            <v>14700.910000000002</v>
          </cell>
          <cell r="I64" t="str">
            <v>B.   Member Months (Unduplicated)</v>
          </cell>
          <cell r="J64">
            <v>0</v>
          </cell>
          <cell r="K64">
            <v>19021.851999999999</v>
          </cell>
          <cell r="L64">
            <v>0</v>
          </cell>
          <cell r="M64">
            <v>2962.9680000000003</v>
          </cell>
          <cell r="N64">
            <v>0</v>
          </cell>
          <cell r="O64">
            <v>21984.820000000003</v>
          </cell>
          <cell r="Q64" t="str">
            <v>B.   Member Months (Unduplicated)</v>
          </cell>
          <cell r="R64">
            <v>0</v>
          </cell>
          <cell r="S64">
            <v>19021.851999999999</v>
          </cell>
          <cell r="T64">
            <v>0</v>
          </cell>
          <cell r="U64">
            <v>2962.9680000000003</v>
          </cell>
          <cell r="V64">
            <v>0</v>
          </cell>
          <cell r="W64">
            <v>21984.820000000003</v>
          </cell>
          <cell r="Y64" t="str">
            <v>B.   Member Months (Unduplicated)</v>
          </cell>
          <cell r="Z64">
            <v>0</v>
          </cell>
          <cell r="AA64">
            <v>19021.851999999999</v>
          </cell>
          <cell r="AB64">
            <v>0</v>
          </cell>
          <cell r="AC64">
            <v>2962.9680000000003</v>
          </cell>
          <cell r="AD64">
            <v>0</v>
          </cell>
          <cell r="AE64">
            <v>21984.820000000003</v>
          </cell>
        </row>
        <row r="65">
          <cell r="A65" t="str">
            <v xml:space="preserve">   Institutional Member Months Total</v>
          </cell>
          <cell r="B65">
            <v>2380.7799999999997</v>
          </cell>
          <cell r="C65">
            <v>5665.68</v>
          </cell>
          <cell r="D65">
            <v>222.80999999999997</v>
          </cell>
          <cell r="E65">
            <v>493.08</v>
          </cell>
          <cell r="F65">
            <v>2603.5899999999997</v>
          </cell>
          <cell r="G65">
            <v>6158.76</v>
          </cell>
          <cell r="I65" t="str">
            <v xml:space="preserve">   Institutional Member Months Total</v>
          </cell>
          <cell r="J65">
            <v>0</v>
          </cell>
          <cell r="K65">
            <v>8039.7100000000009</v>
          </cell>
          <cell r="L65">
            <v>0</v>
          </cell>
          <cell r="M65">
            <v>718.40000000000009</v>
          </cell>
          <cell r="N65">
            <v>0</v>
          </cell>
          <cell r="O65">
            <v>8758.11</v>
          </cell>
          <cell r="Q65" t="str">
            <v xml:space="preserve">   Institutional Member Months Total</v>
          </cell>
          <cell r="R65">
            <v>0</v>
          </cell>
          <cell r="S65">
            <v>8039.7100000000009</v>
          </cell>
          <cell r="T65">
            <v>0</v>
          </cell>
          <cell r="U65">
            <v>718.40000000000009</v>
          </cell>
          <cell r="V65">
            <v>0</v>
          </cell>
          <cell r="W65">
            <v>8758.11</v>
          </cell>
          <cell r="Y65" t="str">
            <v xml:space="preserve">   Institutional Member Months Total</v>
          </cell>
          <cell r="Z65">
            <v>0</v>
          </cell>
          <cell r="AA65">
            <v>8039.7100000000009</v>
          </cell>
          <cell r="AB65">
            <v>0</v>
          </cell>
          <cell r="AC65">
            <v>718.40000000000009</v>
          </cell>
          <cell r="AD65">
            <v>0</v>
          </cell>
          <cell r="AE65">
            <v>8758.11</v>
          </cell>
        </row>
        <row r="66">
          <cell r="A66" t="str">
            <v xml:space="preserve">   1.  Level I</v>
          </cell>
          <cell r="B66">
            <v>1475.97</v>
          </cell>
          <cell r="C66">
            <v>3495.43</v>
          </cell>
          <cell r="D66">
            <v>136.07</v>
          </cell>
          <cell r="E66">
            <v>305.07</v>
          </cell>
          <cell r="F66">
            <v>1612.04</v>
          </cell>
          <cell r="G66">
            <v>3800.5000000000005</v>
          </cell>
          <cell r="I66" t="str">
            <v xml:space="preserve">   1.  Level I</v>
          </cell>
          <cell r="J66">
            <v>0</v>
          </cell>
          <cell r="K66">
            <v>4965.1399999999994</v>
          </cell>
          <cell r="L66">
            <v>0</v>
          </cell>
          <cell r="M66">
            <v>442.84000000000003</v>
          </cell>
          <cell r="N66">
            <v>0</v>
          </cell>
          <cell r="O66">
            <v>5407.98</v>
          </cell>
          <cell r="Q66" t="str">
            <v xml:space="preserve">   1.  Level I</v>
          </cell>
          <cell r="R66">
            <v>0</v>
          </cell>
          <cell r="S66">
            <v>4965.1399999999994</v>
          </cell>
          <cell r="T66">
            <v>0</v>
          </cell>
          <cell r="U66">
            <v>442.84000000000003</v>
          </cell>
          <cell r="V66">
            <v>0</v>
          </cell>
          <cell r="W66">
            <v>5407.98</v>
          </cell>
          <cell r="Y66" t="str">
            <v xml:space="preserve">   1.  Level I</v>
          </cell>
          <cell r="Z66">
            <v>0</v>
          </cell>
          <cell r="AA66">
            <v>4965.1399999999994</v>
          </cell>
          <cell r="AB66">
            <v>0</v>
          </cell>
          <cell r="AC66">
            <v>442.84000000000003</v>
          </cell>
          <cell r="AD66">
            <v>0</v>
          </cell>
          <cell r="AE66">
            <v>5407.98</v>
          </cell>
        </row>
        <row r="67">
          <cell r="A67" t="str">
            <v xml:space="preserve">   2.  Level II</v>
          </cell>
          <cell r="B67">
            <v>782.18999999999994</v>
          </cell>
          <cell r="C67">
            <v>1874.8899999999999</v>
          </cell>
          <cell r="D67">
            <v>60.239999999999995</v>
          </cell>
          <cell r="E67">
            <v>132.51</v>
          </cell>
          <cell r="F67">
            <v>842.42999999999984</v>
          </cell>
          <cell r="G67">
            <v>2007.3999999999999</v>
          </cell>
          <cell r="I67" t="str">
            <v xml:space="preserve">   2.  Level II</v>
          </cell>
          <cell r="J67">
            <v>0</v>
          </cell>
          <cell r="K67">
            <v>2657.8599999999997</v>
          </cell>
          <cell r="L67">
            <v>0</v>
          </cell>
          <cell r="M67">
            <v>195.09</v>
          </cell>
          <cell r="N67">
            <v>0</v>
          </cell>
          <cell r="O67">
            <v>2852.95</v>
          </cell>
          <cell r="Q67" t="str">
            <v xml:space="preserve">   2.  Level II</v>
          </cell>
          <cell r="R67">
            <v>0</v>
          </cell>
          <cell r="S67">
            <v>2657.8599999999997</v>
          </cell>
          <cell r="T67">
            <v>0</v>
          </cell>
          <cell r="U67">
            <v>195.09</v>
          </cell>
          <cell r="V67">
            <v>0</v>
          </cell>
          <cell r="W67">
            <v>2852.95</v>
          </cell>
          <cell r="Y67" t="str">
            <v xml:space="preserve">   2.  Level II</v>
          </cell>
          <cell r="Z67">
            <v>0</v>
          </cell>
          <cell r="AA67">
            <v>2657.8599999999997</v>
          </cell>
          <cell r="AB67">
            <v>0</v>
          </cell>
          <cell r="AC67">
            <v>195.09</v>
          </cell>
          <cell r="AD67">
            <v>0</v>
          </cell>
          <cell r="AE67">
            <v>2852.95</v>
          </cell>
        </row>
        <row r="68">
          <cell r="A68" t="str">
            <v xml:space="preserve">   3.  Level III</v>
          </cell>
          <cell r="B68">
            <v>120.61999999999999</v>
          </cell>
          <cell r="C68">
            <v>290.33000000000004</v>
          </cell>
          <cell r="D68">
            <v>22.43</v>
          </cell>
          <cell r="E68">
            <v>46.370000000000005</v>
          </cell>
          <cell r="F68">
            <v>143.05000000000004</v>
          </cell>
          <cell r="G68">
            <v>336.7</v>
          </cell>
          <cell r="I68" t="str">
            <v xml:space="preserve">   3.  Level III</v>
          </cell>
          <cell r="J68">
            <v>0</v>
          </cell>
          <cell r="K68">
            <v>408.74</v>
          </cell>
          <cell r="L68">
            <v>0</v>
          </cell>
          <cell r="M68">
            <v>66.5</v>
          </cell>
          <cell r="N68">
            <v>0</v>
          </cell>
          <cell r="O68">
            <v>475.24</v>
          </cell>
          <cell r="Q68" t="str">
            <v xml:space="preserve">   3.  Level III</v>
          </cell>
          <cell r="R68">
            <v>0</v>
          </cell>
          <cell r="S68">
            <v>408.74</v>
          </cell>
          <cell r="T68">
            <v>0</v>
          </cell>
          <cell r="U68">
            <v>66.5</v>
          </cell>
          <cell r="V68">
            <v>0</v>
          </cell>
          <cell r="W68">
            <v>475.24</v>
          </cell>
          <cell r="Y68" t="str">
            <v xml:space="preserve">   3.  Level III</v>
          </cell>
          <cell r="Z68">
            <v>0</v>
          </cell>
          <cell r="AA68">
            <v>408.74</v>
          </cell>
          <cell r="AB68">
            <v>0</v>
          </cell>
          <cell r="AC68">
            <v>66.5</v>
          </cell>
          <cell r="AD68">
            <v>0</v>
          </cell>
          <cell r="AE68">
            <v>475.24</v>
          </cell>
        </row>
        <row r="69">
          <cell r="A69" t="str">
            <v xml:space="preserve">   4.  Level IV</v>
          </cell>
          <cell r="B69">
            <v>2</v>
          </cell>
          <cell r="C69">
            <v>5.03</v>
          </cell>
          <cell r="D69">
            <v>4.07</v>
          </cell>
          <cell r="E69">
            <v>9.129999999999999</v>
          </cell>
          <cell r="F69">
            <v>6.07</v>
          </cell>
          <cell r="G69">
            <v>14.159999999999998</v>
          </cell>
          <cell r="I69" t="str">
            <v xml:space="preserve">   4.  Level IV</v>
          </cell>
          <cell r="J69">
            <v>0</v>
          </cell>
          <cell r="K69">
            <v>7.97</v>
          </cell>
          <cell r="L69">
            <v>0</v>
          </cell>
          <cell r="M69">
            <v>13.969999999999999</v>
          </cell>
          <cell r="N69">
            <v>0</v>
          </cell>
          <cell r="O69">
            <v>21.939999999999998</v>
          </cell>
          <cell r="Q69" t="str">
            <v xml:space="preserve">   4.  Level IV</v>
          </cell>
          <cell r="R69">
            <v>0</v>
          </cell>
          <cell r="S69">
            <v>7.97</v>
          </cell>
          <cell r="T69">
            <v>0</v>
          </cell>
          <cell r="U69">
            <v>13.969999999999999</v>
          </cell>
          <cell r="V69">
            <v>0</v>
          </cell>
          <cell r="W69">
            <v>21.939999999999998</v>
          </cell>
          <cell r="Y69" t="str">
            <v xml:space="preserve">   4.  Level IV</v>
          </cell>
          <cell r="Z69">
            <v>0</v>
          </cell>
          <cell r="AA69">
            <v>7.97</v>
          </cell>
          <cell r="AB69">
            <v>0</v>
          </cell>
          <cell r="AC69">
            <v>13.969999999999999</v>
          </cell>
          <cell r="AD69">
            <v>0</v>
          </cell>
          <cell r="AE69">
            <v>21.939999999999998</v>
          </cell>
        </row>
        <row r="70">
          <cell r="A70" t="str">
            <v xml:space="preserve">   5.</v>
          </cell>
          <cell r="I70" t="str">
            <v xml:space="preserve">   5.</v>
          </cell>
          <cell r="Q70" t="str">
            <v xml:space="preserve">   5.</v>
          </cell>
          <cell r="Y70" t="str">
            <v xml:space="preserve">   5.</v>
          </cell>
        </row>
        <row r="71">
          <cell r="A71" t="str">
            <v xml:space="preserve">   6.</v>
          </cell>
          <cell r="I71" t="str">
            <v xml:space="preserve">   6.</v>
          </cell>
          <cell r="Q71" t="str">
            <v xml:space="preserve">   6.</v>
          </cell>
          <cell r="Y71" t="str">
            <v xml:space="preserve">   6.</v>
          </cell>
        </row>
        <row r="72">
          <cell r="A72" t="str">
            <v xml:space="preserve">   7.  Home and Community Based Services (HCBS) Total</v>
          </cell>
          <cell r="B72">
            <v>4310.0199999999986</v>
          </cell>
          <cell r="C72">
            <v>7736.88</v>
          </cell>
          <cell r="D72">
            <v>706.11</v>
          </cell>
          <cell r="E72">
            <v>1602.3000000000002</v>
          </cell>
          <cell r="F72">
            <v>5016.1299999999992</v>
          </cell>
          <cell r="G72">
            <v>9339.1799999999985</v>
          </cell>
          <cell r="I72" t="str">
            <v xml:space="preserve">   7.  Home and Community Based Services (HCBS) Total</v>
          </cell>
          <cell r="J72">
            <v>0</v>
          </cell>
          <cell r="K72">
            <v>12009.18</v>
          </cell>
          <cell r="L72">
            <v>0</v>
          </cell>
          <cell r="M72">
            <v>2309.5999999999995</v>
          </cell>
          <cell r="N72">
            <v>0</v>
          </cell>
          <cell r="O72">
            <v>14318.78</v>
          </cell>
          <cell r="Q72" t="str">
            <v xml:space="preserve">   7.  Home and Community Based Services (HCBS) Total</v>
          </cell>
          <cell r="R72">
            <v>0</v>
          </cell>
          <cell r="S72">
            <v>12009.18</v>
          </cell>
          <cell r="T72">
            <v>0</v>
          </cell>
          <cell r="U72">
            <v>2309.5999999999995</v>
          </cell>
          <cell r="V72">
            <v>0</v>
          </cell>
          <cell r="W72">
            <v>14318.78</v>
          </cell>
          <cell r="Y72" t="str">
            <v xml:space="preserve">   7.  Home and Community Based Services (HCBS) Total</v>
          </cell>
          <cell r="Z72">
            <v>0</v>
          </cell>
          <cell r="AA72">
            <v>12009.18</v>
          </cell>
          <cell r="AB72">
            <v>0</v>
          </cell>
          <cell r="AC72">
            <v>2309.5999999999995</v>
          </cell>
          <cell r="AD72">
            <v>0</v>
          </cell>
          <cell r="AE72">
            <v>14318.78</v>
          </cell>
        </row>
        <row r="73">
          <cell r="A73" t="str">
            <v xml:space="preserve">       a.  Adult Foster Care</v>
          </cell>
          <cell r="B73">
            <v>53.86</v>
          </cell>
          <cell r="C73">
            <v>127.73</v>
          </cell>
          <cell r="D73">
            <v>10</v>
          </cell>
          <cell r="E73">
            <v>22.94</v>
          </cell>
          <cell r="F73">
            <v>63.86</v>
          </cell>
          <cell r="G73">
            <v>150.66999999999999</v>
          </cell>
          <cell r="I73" t="str">
            <v xml:space="preserve">       a.  Adult Foster Care</v>
          </cell>
          <cell r="J73">
            <v>0</v>
          </cell>
          <cell r="K73">
            <v>178.41</v>
          </cell>
          <cell r="L73">
            <v>0</v>
          </cell>
          <cell r="M73">
            <v>32.94</v>
          </cell>
          <cell r="N73">
            <v>0</v>
          </cell>
          <cell r="O73">
            <v>211.34999999999997</v>
          </cell>
          <cell r="Q73" t="str">
            <v xml:space="preserve">       a.  Adult Foster Care</v>
          </cell>
          <cell r="R73">
            <v>0</v>
          </cell>
          <cell r="S73">
            <v>178.41</v>
          </cell>
          <cell r="T73">
            <v>0</v>
          </cell>
          <cell r="U73">
            <v>32.94</v>
          </cell>
          <cell r="V73">
            <v>0</v>
          </cell>
          <cell r="W73">
            <v>211.34999999999997</v>
          </cell>
          <cell r="Y73" t="str">
            <v xml:space="preserve">       a.  Adult Foster Care</v>
          </cell>
          <cell r="Z73">
            <v>0</v>
          </cell>
          <cell r="AA73">
            <v>178.41</v>
          </cell>
          <cell r="AB73">
            <v>0</v>
          </cell>
          <cell r="AC73">
            <v>32.94</v>
          </cell>
          <cell r="AD73">
            <v>0</v>
          </cell>
          <cell r="AE73">
            <v>211.34999999999997</v>
          </cell>
        </row>
        <row r="74">
          <cell r="A74" t="str">
            <v xml:space="preserve">       b.  Assisted Living Home (Adult Care Home)</v>
          </cell>
          <cell r="B74">
            <v>631.30999999999995</v>
          </cell>
          <cell r="C74">
            <v>1551.85</v>
          </cell>
          <cell r="D74">
            <v>50.1</v>
          </cell>
          <cell r="E74">
            <v>107.90999999999998</v>
          </cell>
          <cell r="F74">
            <v>681.41000000000008</v>
          </cell>
          <cell r="G74">
            <v>1659.7599999999998</v>
          </cell>
          <cell r="I74" t="str">
            <v xml:space="preserve">       b.  Assisted Living Home (Adult Care Home)</v>
          </cell>
          <cell r="J74">
            <v>0</v>
          </cell>
          <cell r="K74">
            <v>2187.61</v>
          </cell>
          <cell r="L74">
            <v>0</v>
          </cell>
          <cell r="M74">
            <v>159.81</v>
          </cell>
          <cell r="N74">
            <v>0</v>
          </cell>
          <cell r="O74">
            <v>2347.42</v>
          </cell>
          <cell r="Q74" t="str">
            <v xml:space="preserve">       b.  Assisted Living Home (Adult Care Home)</v>
          </cell>
          <cell r="R74">
            <v>0</v>
          </cell>
          <cell r="S74">
            <v>2187.61</v>
          </cell>
          <cell r="T74">
            <v>0</v>
          </cell>
          <cell r="U74">
            <v>159.81</v>
          </cell>
          <cell r="V74">
            <v>0</v>
          </cell>
          <cell r="W74">
            <v>2347.42</v>
          </cell>
          <cell r="Y74" t="str">
            <v xml:space="preserve">       b.  Assisted Living Home (Adult Care Home)</v>
          </cell>
          <cell r="Z74">
            <v>0</v>
          </cell>
          <cell r="AA74">
            <v>2187.61</v>
          </cell>
          <cell r="AB74">
            <v>0</v>
          </cell>
          <cell r="AC74">
            <v>159.81</v>
          </cell>
          <cell r="AD74">
            <v>0</v>
          </cell>
          <cell r="AE74">
            <v>2347.42</v>
          </cell>
        </row>
        <row r="75">
          <cell r="A75" t="str">
            <v xml:space="preserve">       c.  Group Home (DD)</v>
          </cell>
          <cell r="B75">
            <v>1</v>
          </cell>
          <cell r="C75">
            <v>3.03</v>
          </cell>
          <cell r="D75">
            <v>0</v>
          </cell>
          <cell r="E75">
            <v>0</v>
          </cell>
          <cell r="F75">
            <v>1</v>
          </cell>
          <cell r="G75">
            <v>3.03</v>
          </cell>
          <cell r="I75" t="str">
            <v xml:space="preserve">       c.  Group Home (DD)</v>
          </cell>
          <cell r="J75">
            <v>0</v>
          </cell>
          <cell r="K75">
            <v>4.0299999999999994</v>
          </cell>
          <cell r="L75">
            <v>0</v>
          </cell>
          <cell r="M75">
            <v>0</v>
          </cell>
          <cell r="N75">
            <v>0</v>
          </cell>
          <cell r="O75">
            <v>4.0299999999999994</v>
          </cell>
          <cell r="Q75" t="str">
            <v xml:space="preserve">       c.  Group Home (DD)</v>
          </cell>
          <cell r="R75">
            <v>0</v>
          </cell>
          <cell r="S75">
            <v>4.0299999999999994</v>
          </cell>
          <cell r="T75">
            <v>0</v>
          </cell>
          <cell r="U75">
            <v>0</v>
          </cell>
          <cell r="V75">
            <v>0</v>
          </cell>
          <cell r="W75">
            <v>4.0299999999999994</v>
          </cell>
          <cell r="Y75" t="str">
            <v xml:space="preserve">       c.  Group Home (DD)</v>
          </cell>
          <cell r="Z75">
            <v>0</v>
          </cell>
          <cell r="AA75">
            <v>4.0299999999999994</v>
          </cell>
          <cell r="AB75">
            <v>0</v>
          </cell>
          <cell r="AC75">
            <v>0</v>
          </cell>
          <cell r="AD75">
            <v>0</v>
          </cell>
          <cell r="AE75">
            <v>4.0299999999999994</v>
          </cell>
        </row>
        <row r="76">
          <cell r="A76" t="str">
            <v xml:space="preserve">       d.  Individual Home</v>
          </cell>
          <cell r="B76">
            <v>1760.0699999999993</v>
          </cell>
          <cell r="C76">
            <v>1594.8099999999995</v>
          </cell>
          <cell r="D76">
            <v>347.42</v>
          </cell>
          <cell r="E76">
            <v>792.23</v>
          </cell>
          <cell r="F76">
            <v>2107.4899999999993</v>
          </cell>
          <cell r="G76">
            <v>2387.0399999999991</v>
          </cell>
          <cell r="I76" t="str">
            <v xml:space="preserve">       d.  Individual Home</v>
          </cell>
          <cell r="J76">
            <v>0</v>
          </cell>
          <cell r="K76">
            <v>3287.0699999999997</v>
          </cell>
          <cell r="L76">
            <v>0</v>
          </cell>
          <cell r="M76">
            <v>1141.04</v>
          </cell>
          <cell r="N76">
            <v>0</v>
          </cell>
          <cell r="O76">
            <v>4428.1100000000006</v>
          </cell>
          <cell r="Q76" t="str">
            <v xml:space="preserve">       d.  Individual Home</v>
          </cell>
          <cell r="R76">
            <v>0</v>
          </cell>
          <cell r="S76">
            <v>3287.0699999999997</v>
          </cell>
          <cell r="T76">
            <v>0</v>
          </cell>
          <cell r="U76">
            <v>1141.04</v>
          </cell>
          <cell r="V76">
            <v>0</v>
          </cell>
          <cell r="W76">
            <v>4428.1100000000006</v>
          </cell>
          <cell r="Y76" t="str">
            <v xml:space="preserve">       d.  Individual Home</v>
          </cell>
          <cell r="Z76">
            <v>0</v>
          </cell>
          <cell r="AA76">
            <v>3287.0699999999997</v>
          </cell>
          <cell r="AB76">
            <v>0</v>
          </cell>
          <cell r="AC76">
            <v>1141.04</v>
          </cell>
          <cell r="AD76">
            <v>0</v>
          </cell>
          <cell r="AE76">
            <v>4428.1100000000006</v>
          </cell>
        </row>
        <row r="77">
          <cell r="A77" t="str">
            <v xml:space="preserve">       e.  Assisted Living Centers (SRL)</v>
          </cell>
          <cell r="B77">
            <v>830.58</v>
          </cell>
          <cell r="C77">
            <v>2045.32</v>
          </cell>
          <cell r="D77">
            <v>70.53</v>
          </cell>
          <cell r="E77">
            <v>154.96000000000004</v>
          </cell>
          <cell r="F77">
            <v>901.11</v>
          </cell>
          <cell r="G77">
            <v>2200.2800000000002</v>
          </cell>
          <cell r="I77" t="str">
            <v xml:space="preserve">       e.  Assisted Living Centers (SRL)</v>
          </cell>
          <cell r="J77">
            <v>0</v>
          </cell>
          <cell r="K77">
            <v>2881.63</v>
          </cell>
          <cell r="L77">
            <v>0</v>
          </cell>
          <cell r="M77">
            <v>223.98000000000002</v>
          </cell>
          <cell r="N77">
            <v>0</v>
          </cell>
          <cell r="O77">
            <v>3105.6099999999997</v>
          </cell>
          <cell r="Q77" t="str">
            <v xml:space="preserve">       e.  Assisted Living Centers (SRL)</v>
          </cell>
          <cell r="R77">
            <v>0</v>
          </cell>
          <cell r="S77">
            <v>2881.63</v>
          </cell>
          <cell r="T77">
            <v>0</v>
          </cell>
          <cell r="U77">
            <v>223.98000000000002</v>
          </cell>
          <cell r="V77">
            <v>0</v>
          </cell>
          <cell r="W77">
            <v>3105.6099999999997</v>
          </cell>
          <cell r="Y77" t="str">
            <v xml:space="preserve">       e.  Assisted Living Centers (SRL)</v>
          </cell>
          <cell r="Z77">
            <v>0</v>
          </cell>
          <cell r="AA77">
            <v>2881.63</v>
          </cell>
          <cell r="AB77">
            <v>0</v>
          </cell>
          <cell r="AC77">
            <v>223.98000000000002</v>
          </cell>
          <cell r="AD77">
            <v>0</v>
          </cell>
          <cell r="AE77">
            <v>3105.6099999999997</v>
          </cell>
        </row>
        <row r="78">
          <cell r="A78" t="str">
            <v xml:space="preserve">       f.  Other (Hospice)</v>
          </cell>
          <cell r="B78">
            <v>106.02</v>
          </cell>
          <cell r="C78">
            <v>250.75</v>
          </cell>
          <cell r="D78">
            <v>5.6000000000000005</v>
          </cell>
          <cell r="E78">
            <v>12.74</v>
          </cell>
          <cell r="F78">
            <v>111.62</v>
          </cell>
          <cell r="G78">
            <v>263.49</v>
          </cell>
          <cell r="I78" t="str">
            <v xml:space="preserve">       f.  Other (Hospice)</v>
          </cell>
          <cell r="J78">
            <v>0</v>
          </cell>
          <cell r="K78">
            <v>353.15000000000003</v>
          </cell>
          <cell r="L78">
            <v>0</v>
          </cell>
          <cell r="M78">
            <v>18.22</v>
          </cell>
          <cell r="N78">
            <v>0</v>
          </cell>
          <cell r="O78">
            <v>371.37</v>
          </cell>
          <cell r="Q78" t="str">
            <v xml:space="preserve">       f.  Other (Hospice)</v>
          </cell>
          <cell r="R78">
            <v>0</v>
          </cell>
          <cell r="S78">
            <v>353.15000000000003</v>
          </cell>
          <cell r="T78">
            <v>0</v>
          </cell>
          <cell r="U78">
            <v>18.22</v>
          </cell>
          <cell r="V78">
            <v>0</v>
          </cell>
          <cell r="W78">
            <v>371.37</v>
          </cell>
          <cell r="Y78" t="str">
            <v xml:space="preserve">       f.  Other (Hospice)</v>
          </cell>
          <cell r="Z78">
            <v>0</v>
          </cell>
          <cell r="AA78">
            <v>353.15000000000003</v>
          </cell>
          <cell r="AB78">
            <v>0</v>
          </cell>
          <cell r="AC78">
            <v>18.22</v>
          </cell>
          <cell r="AD78">
            <v>0</v>
          </cell>
          <cell r="AE78">
            <v>371.37</v>
          </cell>
        </row>
        <row r="79">
          <cell r="A79" t="str">
            <v xml:space="preserve">       g.  Attendant Care</v>
          </cell>
          <cell r="B79">
            <v>927.18000000000018</v>
          </cell>
          <cell r="C79">
            <v>2163.3900000000003</v>
          </cell>
          <cell r="D79">
            <v>222.45999999999998</v>
          </cell>
          <cell r="E79">
            <v>511.52</v>
          </cell>
          <cell r="F79">
            <v>1149.6400000000001</v>
          </cell>
          <cell r="G79">
            <v>2674.91</v>
          </cell>
          <cell r="I79" t="str">
            <v xml:space="preserve">       g.  Attendant Care</v>
          </cell>
          <cell r="J79">
            <v>0</v>
          </cell>
          <cell r="K79">
            <v>3117.28</v>
          </cell>
          <cell r="L79">
            <v>0</v>
          </cell>
          <cell r="M79">
            <v>733.61</v>
          </cell>
          <cell r="N79">
            <v>0</v>
          </cell>
          <cell r="O79">
            <v>3850.8900000000003</v>
          </cell>
          <cell r="Q79" t="str">
            <v xml:space="preserve">       g.  Attendant Care</v>
          </cell>
          <cell r="R79">
            <v>0</v>
          </cell>
          <cell r="S79">
            <v>3117.28</v>
          </cell>
          <cell r="T79">
            <v>0</v>
          </cell>
          <cell r="U79">
            <v>733.61</v>
          </cell>
          <cell r="V79">
            <v>0</v>
          </cell>
          <cell r="W79">
            <v>3850.8900000000003</v>
          </cell>
          <cell r="Y79" t="str">
            <v xml:space="preserve">       g.  Attendant Care</v>
          </cell>
          <cell r="Z79">
            <v>0</v>
          </cell>
          <cell r="AA79">
            <v>3117.28</v>
          </cell>
          <cell r="AB79">
            <v>0</v>
          </cell>
          <cell r="AC79">
            <v>733.61</v>
          </cell>
          <cell r="AD79">
            <v>0</v>
          </cell>
          <cell r="AE79">
            <v>3850.8900000000003</v>
          </cell>
        </row>
        <row r="80">
          <cell r="A80" t="str">
            <v xml:space="preserve">   8.  Acute Care</v>
          </cell>
          <cell r="B80">
            <v>47.760000000000005</v>
          </cell>
          <cell r="C80">
            <v>109.84</v>
          </cell>
          <cell r="D80">
            <v>29.790000000000003</v>
          </cell>
          <cell r="E80">
            <v>67.89</v>
          </cell>
          <cell r="F80">
            <v>77.55</v>
          </cell>
          <cell r="G80">
            <v>177.73</v>
          </cell>
          <cell r="I80" t="str">
            <v xml:space="preserve">   8.  Acute Care</v>
          </cell>
          <cell r="J80">
            <v>0</v>
          </cell>
          <cell r="K80">
            <v>153.07999999999998</v>
          </cell>
          <cell r="L80">
            <v>0</v>
          </cell>
          <cell r="M80">
            <v>96.039999999999992</v>
          </cell>
          <cell r="N80">
            <v>0</v>
          </cell>
          <cell r="O80">
            <v>249.11999999999998</v>
          </cell>
          <cell r="Q80" t="str">
            <v xml:space="preserve">   8.  Acute Care</v>
          </cell>
          <cell r="R80">
            <v>0</v>
          </cell>
          <cell r="S80">
            <v>153.07999999999998</v>
          </cell>
          <cell r="T80">
            <v>0</v>
          </cell>
          <cell r="U80">
            <v>96.039999999999992</v>
          </cell>
          <cell r="V80">
            <v>0</v>
          </cell>
          <cell r="W80">
            <v>249.11999999999998</v>
          </cell>
          <cell r="Y80" t="str">
            <v xml:space="preserve">   8.  Acute Care</v>
          </cell>
          <cell r="Z80">
            <v>0</v>
          </cell>
          <cell r="AA80">
            <v>153.07999999999998</v>
          </cell>
          <cell r="AB80">
            <v>0</v>
          </cell>
          <cell r="AC80">
            <v>96.039999999999992</v>
          </cell>
          <cell r="AD80">
            <v>0</v>
          </cell>
          <cell r="AE80">
            <v>249.11999999999998</v>
          </cell>
        </row>
        <row r="81">
          <cell r="A81" t="str">
            <v xml:space="preserve">   9.  Ventilator</v>
          </cell>
          <cell r="B81">
            <v>22.8</v>
          </cell>
          <cell r="C81">
            <v>51.06</v>
          </cell>
          <cell r="D81">
            <v>19.670000000000002</v>
          </cell>
          <cell r="E81">
            <v>46.510000000000005</v>
          </cell>
          <cell r="F81">
            <v>42.47</v>
          </cell>
          <cell r="G81">
            <v>97.570000000000007</v>
          </cell>
          <cell r="I81" t="str">
            <v xml:space="preserve">   9.  Ventilator</v>
          </cell>
          <cell r="J81">
            <v>0</v>
          </cell>
          <cell r="K81">
            <v>72.25</v>
          </cell>
          <cell r="L81">
            <v>0</v>
          </cell>
          <cell r="M81">
            <v>65.510000000000005</v>
          </cell>
          <cell r="N81">
            <v>0</v>
          </cell>
          <cell r="O81">
            <v>137.76</v>
          </cell>
          <cell r="Q81" t="str">
            <v xml:space="preserve">   9.  Ventilator</v>
          </cell>
          <cell r="R81">
            <v>0</v>
          </cell>
          <cell r="S81">
            <v>72.25</v>
          </cell>
          <cell r="T81">
            <v>0</v>
          </cell>
          <cell r="U81">
            <v>65.510000000000005</v>
          </cell>
          <cell r="V81">
            <v>0</v>
          </cell>
          <cell r="W81">
            <v>137.76</v>
          </cell>
          <cell r="Y81" t="str">
            <v xml:space="preserve">   9.  Ventilator</v>
          </cell>
          <cell r="Z81">
            <v>0</v>
          </cell>
          <cell r="AA81">
            <v>72.25</v>
          </cell>
          <cell r="AB81">
            <v>0</v>
          </cell>
          <cell r="AC81">
            <v>65.510000000000005</v>
          </cell>
          <cell r="AD81">
            <v>0</v>
          </cell>
          <cell r="AE81">
            <v>137.76</v>
          </cell>
        </row>
        <row r="82">
          <cell r="A82" t="str">
            <v xml:space="preserve">  10.  Prior Period</v>
          </cell>
          <cell r="B82">
            <v>229.23660000000001</v>
          </cell>
          <cell r="C82">
            <v>457.25569999999993</v>
          </cell>
          <cell r="D82">
            <v>26.333400000000001</v>
          </cell>
          <cell r="E82">
            <v>34.204299999999996</v>
          </cell>
          <cell r="F82">
            <v>255.57</v>
          </cell>
          <cell r="G82">
            <v>491.46000000000004</v>
          </cell>
          <cell r="I82" t="str">
            <v xml:space="preserve">  10.  Prior Period</v>
          </cell>
          <cell r="J82">
            <v>0</v>
          </cell>
          <cell r="K82">
            <v>685.04200000000003</v>
          </cell>
          <cell r="L82">
            <v>0</v>
          </cell>
          <cell r="M82">
            <v>50.458000000000006</v>
          </cell>
          <cell r="N82">
            <v>0</v>
          </cell>
          <cell r="O82">
            <v>735.50000000000011</v>
          </cell>
          <cell r="Q82" t="str">
            <v xml:space="preserve">  10.  Prior Period</v>
          </cell>
          <cell r="R82">
            <v>0</v>
          </cell>
          <cell r="S82">
            <v>685.04200000000003</v>
          </cell>
          <cell r="T82">
            <v>0</v>
          </cell>
          <cell r="U82">
            <v>50.458000000000006</v>
          </cell>
          <cell r="V82">
            <v>0</v>
          </cell>
          <cell r="W82">
            <v>735.50000000000011</v>
          </cell>
          <cell r="Y82" t="str">
            <v xml:space="preserve">  10.  Prior Period</v>
          </cell>
          <cell r="Z82">
            <v>0</v>
          </cell>
          <cell r="AA82">
            <v>685.04200000000003</v>
          </cell>
          <cell r="AB82">
            <v>0</v>
          </cell>
          <cell r="AC82">
            <v>50.458000000000006</v>
          </cell>
          <cell r="AD82">
            <v>0</v>
          </cell>
          <cell r="AE82">
            <v>735.50000000000011</v>
          </cell>
        </row>
        <row r="83">
          <cell r="A83" t="str">
            <v xml:space="preserve">  11.  Other - Not Placed</v>
          </cell>
          <cell r="B83">
            <v>-561.6099999999999</v>
          </cell>
          <cell r="C83">
            <v>-1371.0499999999979</v>
          </cell>
          <cell r="D83">
            <v>-84.56</v>
          </cell>
          <cell r="E83">
            <v>-192.74</v>
          </cell>
          <cell r="F83">
            <v>-646.16999999999996</v>
          </cell>
          <cell r="G83">
            <v>-1563.7899999999981</v>
          </cell>
          <cell r="I83" t="str">
            <v xml:space="preserve">  11.  Other - Not Placed</v>
          </cell>
          <cell r="J83">
            <v>0</v>
          </cell>
          <cell r="K83">
            <v>-1937.4099999999978</v>
          </cell>
          <cell r="L83">
            <v>0</v>
          </cell>
          <cell r="M83">
            <v>-277.03999999999996</v>
          </cell>
          <cell r="N83">
            <v>0</v>
          </cell>
          <cell r="O83">
            <v>-2214.449999999998</v>
          </cell>
          <cell r="Q83" t="str">
            <v xml:space="preserve">  11.  Other - Not Placed</v>
          </cell>
          <cell r="R83">
            <v>0</v>
          </cell>
          <cell r="S83">
            <v>-1937.4099999999978</v>
          </cell>
          <cell r="T83">
            <v>0</v>
          </cell>
          <cell r="U83">
            <v>-277.03999999999996</v>
          </cell>
          <cell r="V83">
            <v>0</v>
          </cell>
          <cell r="W83">
            <v>-2214.449999999998</v>
          </cell>
          <cell r="Y83" t="str">
            <v xml:space="preserve">  11.  Other - Not Placed</v>
          </cell>
          <cell r="Z83">
            <v>0</v>
          </cell>
          <cell r="AA83">
            <v>-1937.4099999999978</v>
          </cell>
          <cell r="AB83">
            <v>0</v>
          </cell>
          <cell r="AC83">
            <v>-277.03999999999996</v>
          </cell>
          <cell r="AD83">
            <v>0</v>
          </cell>
          <cell r="AE83">
            <v>-2214.449999999998</v>
          </cell>
        </row>
        <row r="85">
          <cell r="A85" t="str">
            <v>C.   Acute Patient Day Information</v>
          </cell>
          <cell r="I85" t="str">
            <v>C.   Acute Patient Day Information</v>
          </cell>
          <cell r="Q85" t="str">
            <v>C.   Acute Patient Day Information</v>
          </cell>
          <cell r="Y85" t="str">
            <v>C.   Acute Patient Day Information</v>
          </cell>
        </row>
        <row r="86">
          <cell r="A86" t="str">
            <v xml:space="preserve">       a.  Admissions</v>
          </cell>
          <cell r="B86">
            <v>345</v>
          </cell>
          <cell r="C86">
            <v>703</v>
          </cell>
          <cell r="D86">
            <v>66</v>
          </cell>
          <cell r="E86">
            <v>147</v>
          </cell>
          <cell r="F86">
            <v>411</v>
          </cell>
          <cell r="G86">
            <v>850</v>
          </cell>
          <cell r="I86" t="str">
            <v xml:space="preserve">       a.  Admissions</v>
          </cell>
          <cell r="J86">
            <v>0</v>
          </cell>
          <cell r="K86">
            <v>1121</v>
          </cell>
          <cell r="L86">
            <v>0</v>
          </cell>
          <cell r="M86">
            <v>211</v>
          </cell>
          <cell r="N86">
            <v>0</v>
          </cell>
          <cell r="O86">
            <v>1332</v>
          </cell>
          <cell r="Q86" t="str">
            <v xml:space="preserve">       a.  Admissions</v>
          </cell>
          <cell r="R86">
            <v>0</v>
          </cell>
          <cell r="S86">
            <v>1121</v>
          </cell>
          <cell r="T86">
            <v>0</v>
          </cell>
          <cell r="U86">
            <v>211</v>
          </cell>
          <cell r="V86">
            <v>0</v>
          </cell>
          <cell r="W86">
            <v>1332</v>
          </cell>
          <cell r="Y86" t="str">
            <v xml:space="preserve">       a.  Admissions</v>
          </cell>
          <cell r="Z86">
            <v>0</v>
          </cell>
          <cell r="AA86">
            <v>1121</v>
          </cell>
          <cell r="AB86">
            <v>0</v>
          </cell>
          <cell r="AC86">
            <v>211</v>
          </cell>
          <cell r="AD86">
            <v>0</v>
          </cell>
          <cell r="AE86">
            <v>1332</v>
          </cell>
        </row>
        <row r="87">
          <cell r="A87" t="str">
            <v xml:space="preserve">       b.  Patient Days</v>
          </cell>
          <cell r="B87">
            <v>2013</v>
          </cell>
          <cell r="C87">
            <v>3914</v>
          </cell>
          <cell r="D87">
            <v>334</v>
          </cell>
          <cell r="E87">
            <v>808</v>
          </cell>
          <cell r="F87">
            <v>2347</v>
          </cell>
          <cell r="G87">
            <v>4722</v>
          </cell>
          <cell r="I87" t="str">
            <v xml:space="preserve">       b.  Patient Days</v>
          </cell>
          <cell r="J87">
            <v>0</v>
          </cell>
          <cell r="K87">
            <v>6094</v>
          </cell>
          <cell r="L87">
            <v>0</v>
          </cell>
          <cell r="M87">
            <v>1231</v>
          </cell>
          <cell r="N87">
            <v>0</v>
          </cell>
          <cell r="O87">
            <v>7325</v>
          </cell>
          <cell r="Q87" t="str">
            <v xml:space="preserve">       b.  Patient Days</v>
          </cell>
          <cell r="R87">
            <v>0</v>
          </cell>
          <cell r="S87">
            <v>6094</v>
          </cell>
          <cell r="T87">
            <v>0</v>
          </cell>
          <cell r="U87">
            <v>1231</v>
          </cell>
          <cell r="V87">
            <v>0</v>
          </cell>
          <cell r="W87">
            <v>7325</v>
          </cell>
          <cell r="Y87" t="str">
            <v xml:space="preserve">       b.  Patient Days</v>
          </cell>
          <cell r="Z87">
            <v>0</v>
          </cell>
          <cell r="AA87">
            <v>6094</v>
          </cell>
          <cell r="AB87">
            <v>0</v>
          </cell>
          <cell r="AC87">
            <v>1231</v>
          </cell>
          <cell r="AD87">
            <v>0</v>
          </cell>
          <cell r="AE87">
            <v>7325</v>
          </cell>
        </row>
        <row r="88">
          <cell r="A88" t="str">
            <v xml:space="preserve">       c.  Discharges</v>
          </cell>
          <cell r="B88">
            <v>350</v>
          </cell>
          <cell r="C88">
            <v>684</v>
          </cell>
          <cell r="D88">
            <v>56</v>
          </cell>
          <cell r="E88">
            <v>133</v>
          </cell>
          <cell r="F88">
            <v>406</v>
          </cell>
          <cell r="G88">
            <v>817</v>
          </cell>
          <cell r="I88" t="str">
            <v xml:space="preserve">       c.  Discharges</v>
          </cell>
          <cell r="J88">
            <v>0</v>
          </cell>
          <cell r="K88">
            <v>1069</v>
          </cell>
          <cell r="L88">
            <v>0</v>
          </cell>
          <cell r="M88">
            <v>198</v>
          </cell>
          <cell r="N88">
            <v>0</v>
          </cell>
          <cell r="O88">
            <v>1267</v>
          </cell>
          <cell r="Q88" t="str">
            <v xml:space="preserve">       c.  Discharges</v>
          </cell>
          <cell r="R88">
            <v>0</v>
          </cell>
          <cell r="S88">
            <v>1069</v>
          </cell>
          <cell r="T88">
            <v>0</v>
          </cell>
          <cell r="U88">
            <v>198</v>
          </cell>
          <cell r="V88">
            <v>0</v>
          </cell>
          <cell r="W88">
            <v>1267</v>
          </cell>
          <cell r="Y88" t="str">
            <v xml:space="preserve">       c.  Discharges</v>
          </cell>
          <cell r="Z88">
            <v>0</v>
          </cell>
          <cell r="AA88">
            <v>1069</v>
          </cell>
          <cell r="AB88">
            <v>0</v>
          </cell>
          <cell r="AC88">
            <v>198</v>
          </cell>
          <cell r="AD88">
            <v>0</v>
          </cell>
          <cell r="AE88">
            <v>1267</v>
          </cell>
        </row>
        <row r="89">
          <cell r="A89" t="str">
            <v xml:space="preserve">       d.  Discharge Days</v>
          </cell>
          <cell r="B89">
            <v>1631</v>
          </cell>
          <cell r="C89">
            <v>3072</v>
          </cell>
          <cell r="D89">
            <v>240</v>
          </cell>
          <cell r="E89">
            <v>622</v>
          </cell>
          <cell r="F89">
            <v>1871</v>
          </cell>
          <cell r="G89">
            <v>3694</v>
          </cell>
          <cell r="I89" t="str">
            <v xml:space="preserve">       d.  Discharge Days</v>
          </cell>
          <cell r="J89">
            <v>0</v>
          </cell>
          <cell r="K89">
            <v>4799</v>
          </cell>
          <cell r="L89">
            <v>0</v>
          </cell>
          <cell r="M89">
            <v>966</v>
          </cell>
          <cell r="N89">
            <v>0</v>
          </cell>
          <cell r="O89">
            <v>5765</v>
          </cell>
          <cell r="Q89" t="str">
            <v xml:space="preserve">       d.  Discharge Days</v>
          </cell>
          <cell r="R89">
            <v>0</v>
          </cell>
          <cell r="S89">
            <v>4799</v>
          </cell>
          <cell r="T89">
            <v>0</v>
          </cell>
          <cell r="U89">
            <v>966</v>
          </cell>
          <cell r="V89">
            <v>0</v>
          </cell>
          <cell r="W89">
            <v>5765</v>
          </cell>
          <cell r="Y89" t="str">
            <v xml:space="preserve">       d.  Discharge Days</v>
          </cell>
          <cell r="Z89">
            <v>0</v>
          </cell>
          <cell r="AA89">
            <v>4799</v>
          </cell>
          <cell r="AB89">
            <v>0</v>
          </cell>
          <cell r="AC89">
            <v>966</v>
          </cell>
          <cell r="AD89">
            <v>0</v>
          </cell>
          <cell r="AE89">
            <v>5765</v>
          </cell>
        </row>
        <row r="90">
          <cell r="A90" t="str">
            <v xml:space="preserve">       e.  Average Length of Stay</v>
          </cell>
          <cell r="B90">
            <v>4.66</v>
          </cell>
          <cell r="C90">
            <v>4.4912280701754383</v>
          </cell>
          <cell r="D90">
            <v>4.2857142857142856</v>
          </cell>
          <cell r="E90">
            <v>4.6766917293233083</v>
          </cell>
          <cell r="F90">
            <v>4.6083743842364528</v>
          </cell>
          <cell r="G90">
            <v>4.5214198286413705</v>
          </cell>
          <cell r="I90" t="str">
            <v xml:space="preserve">       e.  Average Length of Stay</v>
          </cell>
          <cell r="J90">
            <v>0</v>
          </cell>
          <cell r="K90">
            <v>4.489242282507016</v>
          </cell>
          <cell r="L90">
            <v>0</v>
          </cell>
          <cell r="M90">
            <v>4.8787878787878789</v>
          </cell>
          <cell r="N90">
            <v>0</v>
          </cell>
          <cell r="O90">
            <v>4.5501183898973956</v>
          </cell>
          <cell r="Q90" t="str">
            <v xml:space="preserve">       e.  Average Length of Stay</v>
          </cell>
          <cell r="R90">
            <v>0</v>
          </cell>
          <cell r="S90">
            <v>4.489242282507016</v>
          </cell>
          <cell r="T90">
            <v>0</v>
          </cell>
          <cell r="U90">
            <v>4.8787878787878789</v>
          </cell>
          <cell r="V90">
            <v>0</v>
          </cell>
          <cell r="W90">
            <v>4.5501183898973956</v>
          </cell>
          <cell r="Y90" t="str">
            <v xml:space="preserve">       e.  Average Length of Stay</v>
          </cell>
          <cell r="Z90">
            <v>0</v>
          </cell>
          <cell r="AA90">
            <v>4.489242282507016</v>
          </cell>
          <cell r="AB90">
            <v>0</v>
          </cell>
          <cell r="AC90">
            <v>4.8787878787878789</v>
          </cell>
          <cell r="AD90">
            <v>0</v>
          </cell>
          <cell r="AE90">
            <v>4.5501183898973956</v>
          </cell>
        </row>
        <row r="92">
          <cell r="A92" t="str">
            <v>D.   Emergency Room Visits</v>
          </cell>
          <cell r="B92">
            <v>172</v>
          </cell>
          <cell r="C92">
            <v>311</v>
          </cell>
          <cell r="D92">
            <v>90</v>
          </cell>
          <cell r="E92">
            <v>138</v>
          </cell>
          <cell r="F92">
            <v>262</v>
          </cell>
          <cell r="G92">
            <v>449</v>
          </cell>
          <cell r="I92" t="str">
            <v>D.   Emergency Room Visits</v>
          </cell>
          <cell r="J92">
            <v>0</v>
          </cell>
          <cell r="K92">
            <v>454</v>
          </cell>
          <cell r="L92">
            <v>0</v>
          </cell>
          <cell r="M92">
            <v>199</v>
          </cell>
          <cell r="N92">
            <v>0</v>
          </cell>
          <cell r="O92">
            <v>653</v>
          </cell>
          <cell r="Q92" t="str">
            <v>D.   Emergency Room Visits</v>
          </cell>
          <cell r="R92">
            <v>0</v>
          </cell>
          <cell r="S92">
            <v>454</v>
          </cell>
          <cell r="T92">
            <v>0</v>
          </cell>
          <cell r="U92">
            <v>199</v>
          </cell>
          <cell r="V92">
            <v>0</v>
          </cell>
          <cell r="W92">
            <v>653</v>
          </cell>
          <cell r="Y92" t="str">
            <v>D.   Emergency Room Visits</v>
          </cell>
          <cell r="Z92">
            <v>0</v>
          </cell>
          <cell r="AA92">
            <v>454</v>
          </cell>
          <cell r="AB92">
            <v>0</v>
          </cell>
          <cell r="AC92">
            <v>199</v>
          </cell>
          <cell r="AD92">
            <v>0</v>
          </cell>
          <cell r="AE92">
            <v>653</v>
          </cell>
        </row>
        <row r="96">
          <cell r="A96" t="str">
            <v>Program Contractor Financial Reporting Systems - Report #11B Utilization Data Report for all Counties</v>
          </cell>
          <cell r="I96" t="str">
            <v>Program Contractor Financial Reporting Systems - Report #11B Utilization Data Report for all Counties</v>
          </cell>
          <cell r="Q96" t="str">
            <v>Program Contractor Financial Reporting Systems - Report #11B Utilization Data Report for all Counties</v>
          </cell>
          <cell r="Y96" t="str">
            <v>Program Contractor Financial Reporting Systems - Report #11B Utilization Data Report for all Counties</v>
          </cell>
        </row>
        <row r="98">
          <cell r="A98" t="str">
            <v>Statement for Program Contractor 110049 - Evercare of Arizona, Inc.</v>
          </cell>
          <cell r="I98" t="str">
            <v>Statement for Program Contractor 110049 - Evercare of Arizona, Inc.</v>
          </cell>
          <cell r="Q98" t="str">
            <v>Statement for Program Contractor 110049 - Evercare of Arizona, Inc.</v>
          </cell>
          <cell r="Y98" t="str">
            <v>Statement for Program Contractor 110049 - Evercare of Arizona, Inc.</v>
          </cell>
        </row>
        <row r="100">
          <cell r="A100" t="str">
            <v>For the Month ending 12/31/2005 in the Fiscal Year ending 9/30/2006</v>
          </cell>
          <cell r="F100" t="str">
            <v>Page 3 of 3</v>
          </cell>
          <cell r="I100" t="str">
            <v>For the Month ending 3/31/2006 in the Fiscal Year ending 9/30/2006</v>
          </cell>
          <cell r="N100" t="str">
            <v>Page 3 of 3</v>
          </cell>
          <cell r="Q100" t="str">
            <v>For the Month ending 6/30/2006 in the Fiscal Year ending 9/30/2006</v>
          </cell>
          <cell r="V100" t="str">
            <v>Page 3 of 3</v>
          </cell>
          <cell r="Y100" t="str">
            <v>For the Month ending 9/30/2006 in the Fiscal Year ending 9/30/2006</v>
          </cell>
          <cell r="AD100" t="str">
            <v>Page 3 of 3</v>
          </cell>
        </row>
        <row r="103">
          <cell r="A103" t="str">
            <v>Utilization Data Report for All Counties</v>
          </cell>
          <cell r="I103" t="str">
            <v>Utilization Data Report for All Counties</v>
          </cell>
          <cell r="Q103" t="str">
            <v>Utilization Data Report for All Counties</v>
          </cell>
          <cell r="Y103" t="str">
            <v>Utilization Data Report for All Counties</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row>
        <row r="108">
          <cell r="A108" t="str">
            <v>A.   Enrollees (At End of Period)</v>
          </cell>
          <cell r="B108">
            <v>6191</v>
          </cell>
          <cell r="D108">
            <v>951</v>
          </cell>
          <cell r="F108">
            <v>7142</v>
          </cell>
          <cell r="I108" t="str">
            <v>A.   Enrollees (At End of Period)</v>
          </cell>
          <cell r="J108">
            <v>0</v>
          </cell>
          <cell r="L108">
            <v>0</v>
          </cell>
          <cell r="N108">
            <v>0</v>
          </cell>
          <cell r="Q108" t="str">
            <v>A.   Enrollees (At End of Period)</v>
          </cell>
          <cell r="R108">
            <v>0</v>
          </cell>
          <cell r="T108">
            <v>0</v>
          </cell>
          <cell r="V108">
            <v>0</v>
          </cell>
          <cell r="Y108" t="str">
            <v>A.   Enrollees (At End of Period)</v>
          </cell>
          <cell r="Z108">
            <v>0</v>
          </cell>
          <cell r="AB108">
            <v>0</v>
          </cell>
          <cell r="AD108">
            <v>0</v>
          </cell>
        </row>
        <row r="110">
          <cell r="A110" t="str">
            <v>B.   Member Months (Unduplicated)</v>
          </cell>
          <cell r="B110">
            <v>6372.1862999999985</v>
          </cell>
          <cell r="C110">
            <v>19021.851999999999</v>
          </cell>
          <cell r="D110">
            <v>911.72370000000001</v>
          </cell>
          <cell r="E110">
            <v>2962.9680000000003</v>
          </cell>
          <cell r="F110">
            <v>7283.9099999999989</v>
          </cell>
          <cell r="G110">
            <v>21984.820000000003</v>
          </cell>
          <cell r="I110" t="str">
            <v>B.   Member Months (Unduplicated)</v>
          </cell>
          <cell r="J110">
            <v>0</v>
          </cell>
          <cell r="K110">
            <v>19021.851999999999</v>
          </cell>
          <cell r="L110">
            <v>0</v>
          </cell>
          <cell r="M110">
            <v>2962.9680000000003</v>
          </cell>
          <cell r="N110">
            <v>0</v>
          </cell>
          <cell r="O110">
            <v>21984.820000000003</v>
          </cell>
          <cell r="Q110" t="str">
            <v>B.   Member Months (Unduplicated)</v>
          </cell>
          <cell r="R110">
            <v>0</v>
          </cell>
          <cell r="S110">
            <v>19021.851999999999</v>
          </cell>
          <cell r="T110">
            <v>0</v>
          </cell>
          <cell r="U110">
            <v>2962.9680000000003</v>
          </cell>
          <cell r="V110">
            <v>0</v>
          </cell>
          <cell r="W110">
            <v>21984.820000000003</v>
          </cell>
          <cell r="Y110" t="str">
            <v>B.   Member Months (Unduplicated)</v>
          </cell>
          <cell r="Z110">
            <v>0</v>
          </cell>
          <cell r="AA110">
            <v>19021.851999999999</v>
          </cell>
          <cell r="AB110">
            <v>0</v>
          </cell>
          <cell r="AC110">
            <v>2962.9680000000003</v>
          </cell>
          <cell r="AD110">
            <v>0</v>
          </cell>
          <cell r="AE110">
            <v>21984.820000000003</v>
          </cell>
        </row>
        <row r="111">
          <cell r="A111" t="str">
            <v xml:space="preserve">   Institutional Member Months Total</v>
          </cell>
          <cell r="B111">
            <v>2374.0299999999997</v>
          </cell>
          <cell r="C111">
            <v>8039.7100000000009</v>
          </cell>
          <cell r="D111">
            <v>225.32</v>
          </cell>
          <cell r="E111">
            <v>718.40000000000009</v>
          </cell>
          <cell r="F111">
            <v>2599.35</v>
          </cell>
          <cell r="G111">
            <v>8758.11</v>
          </cell>
          <cell r="I111" t="str">
            <v xml:space="preserve">   Institutional Member Months Total</v>
          </cell>
          <cell r="J111">
            <v>0</v>
          </cell>
          <cell r="K111">
            <v>8039.7100000000009</v>
          </cell>
          <cell r="L111">
            <v>0</v>
          </cell>
          <cell r="M111">
            <v>718.40000000000009</v>
          </cell>
          <cell r="N111">
            <v>0</v>
          </cell>
          <cell r="O111">
            <v>8758.11</v>
          </cell>
          <cell r="Q111" t="str">
            <v xml:space="preserve">   Institutional Member Months Total</v>
          </cell>
          <cell r="R111">
            <v>0</v>
          </cell>
          <cell r="S111">
            <v>8039.7100000000009</v>
          </cell>
          <cell r="T111">
            <v>0</v>
          </cell>
          <cell r="U111">
            <v>718.40000000000009</v>
          </cell>
          <cell r="V111">
            <v>0</v>
          </cell>
          <cell r="W111">
            <v>8758.11</v>
          </cell>
          <cell r="Y111" t="str">
            <v xml:space="preserve">   Institutional Member Months Total</v>
          </cell>
          <cell r="Z111">
            <v>0</v>
          </cell>
          <cell r="AA111">
            <v>8039.7100000000009</v>
          </cell>
          <cell r="AB111">
            <v>0</v>
          </cell>
          <cell r="AC111">
            <v>718.40000000000009</v>
          </cell>
          <cell r="AD111">
            <v>0</v>
          </cell>
          <cell r="AE111">
            <v>8758.11</v>
          </cell>
        </row>
        <row r="112">
          <cell r="A112" t="str">
            <v xml:space="preserve">   1.  Level I</v>
          </cell>
          <cell r="B112">
            <v>1469.71</v>
          </cell>
          <cell r="C112">
            <v>4965.1399999999994</v>
          </cell>
          <cell r="D112">
            <v>137.76999999999998</v>
          </cell>
          <cell r="E112">
            <v>442.84000000000003</v>
          </cell>
          <cell r="F112">
            <v>1607.4800000000002</v>
          </cell>
          <cell r="G112">
            <v>5407.98</v>
          </cell>
          <cell r="I112" t="str">
            <v xml:space="preserve">   1.  Level I</v>
          </cell>
          <cell r="J112">
            <v>0</v>
          </cell>
          <cell r="K112">
            <v>4965.1399999999994</v>
          </cell>
          <cell r="L112">
            <v>0</v>
          </cell>
          <cell r="M112">
            <v>442.84000000000003</v>
          </cell>
          <cell r="N112">
            <v>0</v>
          </cell>
          <cell r="O112">
            <v>5407.98</v>
          </cell>
          <cell r="Q112" t="str">
            <v xml:space="preserve">   1.  Level I</v>
          </cell>
          <cell r="R112">
            <v>0</v>
          </cell>
          <cell r="S112">
            <v>4965.1399999999994</v>
          </cell>
          <cell r="T112">
            <v>0</v>
          </cell>
          <cell r="U112">
            <v>442.84000000000003</v>
          </cell>
          <cell r="V112">
            <v>0</v>
          </cell>
          <cell r="W112">
            <v>5407.98</v>
          </cell>
          <cell r="Y112" t="str">
            <v xml:space="preserve">   1.  Level I</v>
          </cell>
          <cell r="Z112">
            <v>0</v>
          </cell>
          <cell r="AA112">
            <v>4965.1399999999994</v>
          </cell>
          <cell r="AB112">
            <v>0</v>
          </cell>
          <cell r="AC112">
            <v>442.84000000000003</v>
          </cell>
          <cell r="AD112">
            <v>0</v>
          </cell>
          <cell r="AE112">
            <v>5407.98</v>
          </cell>
        </row>
        <row r="113">
          <cell r="A113" t="str">
            <v xml:space="preserve">   2.  Level II</v>
          </cell>
          <cell r="B113">
            <v>782.97</v>
          </cell>
          <cell r="C113">
            <v>2657.8599999999997</v>
          </cell>
          <cell r="D113">
            <v>62.580000000000005</v>
          </cell>
          <cell r="E113">
            <v>195.09</v>
          </cell>
          <cell r="F113">
            <v>845.55000000000007</v>
          </cell>
          <cell r="G113">
            <v>2852.95</v>
          </cell>
          <cell r="I113" t="str">
            <v xml:space="preserve">   2.  Level II</v>
          </cell>
          <cell r="J113">
            <v>0</v>
          </cell>
          <cell r="K113">
            <v>2657.8599999999997</v>
          </cell>
          <cell r="L113">
            <v>0</v>
          </cell>
          <cell r="M113">
            <v>195.09</v>
          </cell>
          <cell r="N113">
            <v>0</v>
          </cell>
          <cell r="O113">
            <v>2852.95</v>
          </cell>
          <cell r="Q113" t="str">
            <v xml:space="preserve">   2.  Level II</v>
          </cell>
          <cell r="R113">
            <v>0</v>
          </cell>
          <cell r="S113">
            <v>2657.8599999999997</v>
          </cell>
          <cell r="T113">
            <v>0</v>
          </cell>
          <cell r="U113">
            <v>195.09</v>
          </cell>
          <cell r="V113">
            <v>0</v>
          </cell>
          <cell r="W113">
            <v>2852.95</v>
          </cell>
          <cell r="Y113" t="str">
            <v xml:space="preserve">   2.  Level II</v>
          </cell>
          <cell r="Z113">
            <v>0</v>
          </cell>
          <cell r="AA113">
            <v>2657.8599999999997</v>
          </cell>
          <cell r="AB113">
            <v>0</v>
          </cell>
          <cell r="AC113">
            <v>195.09</v>
          </cell>
          <cell r="AD113">
            <v>0</v>
          </cell>
          <cell r="AE113">
            <v>2852.95</v>
          </cell>
        </row>
        <row r="114">
          <cell r="A114" t="str">
            <v xml:space="preserve">   3.  Level III</v>
          </cell>
          <cell r="B114">
            <v>118.41000000000001</v>
          </cell>
          <cell r="C114">
            <v>408.74</v>
          </cell>
          <cell r="D114">
            <v>20.130000000000003</v>
          </cell>
          <cell r="E114">
            <v>66.5</v>
          </cell>
          <cell r="F114">
            <v>138.54000000000002</v>
          </cell>
          <cell r="G114">
            <v>475.24</v>
          </cell>
          <cell r="I114" t="str">
            <v xml:space="preserve">   3.  Level III</v>
          </cell>
          <cell r="J114">
            <v>0</v>
          </cell>
          <cell r="K114">
            <v>408.74</v>
          </cell>
          <cell r="L114">
            <v>0</v>
          </cell>
          <cell r="M114">
            <v>66.5</v>
          </cell>
          <cell r="N114">
            <v>0</v>
          </cell>
          <cell r="O114">
            <v>475.24</v>
          </cell>
          <cell r="Q114" t="str">
            <v xml:space="preserve">   3.  Level III</v>
          </cell>
          <cell r="R114">
            <v>0</v>
          </cell>
          <cell r="S114">
            <v>408.74</v>
          </cell>
          <cell r="T114">
            <v>0</v>
          </cell>
          <cell r="U114">
            <v>66.5</v>
          </cell>
          <cell r="V114">
            <v>0</v>
          </cell>
          <cell r="W114">
            <v>475.24</v>
          </cell>
          <cell r="Y114" t="str">
            <v xml:space="preserve">   3.  Level III</v>
          </cell>
          <cell r="Z114">
            <v>0</v>
          </cell>
          <cell r="AA114">
            <v>408.74</v>
          </cell>
          <cell r="AB114">
            <v>0</v>
          </cell>
          <cell r="AC114">
            <v>66.5</v>
          </cell>
          <cell r="AD114">
            <v>0</v>
          </cell>
          <cell r="AE114">
            <v>475.24</v>
          </cell>
        </row>
        <row r="115">
          <cell r="A115" t="str">
            <v xml:space="preserve">   4.  Level IV</v>
          </cell>
          <cell r="B115">
            <v>2.94</v>
          </cell>
          <cell r="C115">
            <v>7.97</v>
          </cell>
          <cell r="D115">
            <v>4.84</v>
          </cell>
          <cell r="E115">
            <v>13.969999999999999</v>
          </cell>
          <cell r="F115">
            <v>7.7799999999999994</v>
          </cell>
          <cell r="G115">
            <v>21.939999999999998</v>
          </cell>
          <cell r="I115" t="str">
            <v xml:space="preserve">   4.  Level IV</v>
          </cell>
          <cell r="J115">
            <v>0</v>
          </cell>
          <cell r="K115">
            <v>7.97</v>
          </cell>
          <cell r="L115">
            <v>0</v>
          </cell>
          <cell r="M115">
            <v>13.969999999999999</v>
          </cell>
          <cell r="N115">
            <v>0</v>
          </cell>
          <cell r="O115">
            <v>21.939999999999998</v>
          </cell>
          <cell r="Q115" t="str">
            <v xml:space="preserve">   4.  Level IV</v>
          </cell>
          <cell r="R115">
            <v>0</v>
          </cell>
          <cell r="S115">
            <v>7.97</v>
          </cell>
          <cell r="T115">
            <v>0</v>
          </cell>
          <cell r="U115">
            <v>13.969999999999999</v>
          </cell>
          <cell r="V115">
            <v>0</v>
          </cell>
          <cell r="W115">
            <v>21.939999999999998</v>
          </cell>
          <cell r="Y115" t="str">
            <v xml:space="preserve">   4.  Level IV</v>
          </cell>
          <cell r="Z115">
            <v>0</v>
          </cell>
          <cell r="AA115">
            <v>7.97</v>
          </cell>
          <cell r="AB115">
            <v>0</v>
          </cell>
          <cell r="AC115">
            <v>13.969999999999999</v>
          </cell>
          <cell r="AD115">
            <v>0</v>
          </cell>
          <cell r="AE115">
            <v>21.939999999999998</v>
          </cell>
        </row>
        <row r="116">
          <cell r="A116" t="str">
            <v xml:space="preserve">   5.</v>
          </cell>
          <cell r="I116" t="str">
            <v xml:space="preserve">   5.</v>
          </cell>
          <cell r="Q116" t="str">
            <v xml:space="preserve">   5.</v>
          </cell>
          <cell r="Y116" t="str">
            <v xml:space="preserve">   5.</v>
          </cell>
        </row>
        <row r="117">
          <cell r="A117" t="str">
            <v xml:space="preserve">   6.</v>
          </cell>
          <cell r="I117" t="str">
            <v xml:space="preserve">   6.</v>
          </cell>
          <cell r="Q117" t="str">
            <v xml:space="preserve">   6.</v>
          </cell>
          <cell r="Y117" t="str">
            <v xml:space="preserve">   6.</v>
          </cell>
        </row>
        <row r="118">
          <cell r="A118" t="str">
            <v xml:space="preserve">   7.  Home and Community Based Services (HCBS) Total</v>
          </cell>
          <cell r="B118">
            <v>4272.3</v>
          </cell>
          <cell r="C118">
            <v>12009.18</v>
          </cell>
          <cell r="D118">
            <v>707.3</v>
          </cell>
          <cell r="E118">
            <v>2309.5999999999995</v>
          </cell>
          <cell r="F118">
            <v>4979.6000000000004</v>
          </cell>
          <cell r="G118">
            <v>14318.78</v>
          </cell>
          <cell r="I118" t="str">
            <v xml:space="preserve">   7.  Home and Community Based Services (HCBS) Total</v>
          </cell>
          <cell r="J118">
            <v>0</v>
          </cell>
          <cell r="K118">
            <v>12009.18</v>
          </cell>
          <cell r="L118">
            <v>0</v>
          </cell>
          <cell r="M118">
            <v>2309.5999999999995</v>
          </cell>
          <cell r="N118">
            <v>0</v>
          </cell>
          <cell r="O118">
            <v>14318.78</v>
          </cell>
          <cell r="Q118" t="str">
            <v xml:space="preserve">   7.  Home and Community Based Services (HCBS) Total</v>
          </cell>
          <cell r="R118">
            <v>0</v>
          </cell>
          <cell r="S118">
            <v>12009.18</v>
          </cell>
          <cell r="T118">
            <v>0</v>
          </cell>
          <cell r="U118">
            <v>2309.5999999999995</v>
          </cell>
          <cell r="V118">
            <v>0</v>
          </cell>
          <cell r="W118">
            <v>14318.78</v>
          </cell>
          <cell r="Y118" t="str">
            <v xml:space="preserve">   7.  Home and Community Based Services (HCBS) Total</v>
          </cell>
          <cell r="Z118">
            <v>0</v>
          </cell>
          <cell r="AA118">
            <v>12009.18</v>
          </cell>
          <cell r="AB118">
            <v>0</v>
          </cell>
          <cell r="AC118">
            <v>2309.5999999999995</v>
          </cell>
          <cell r="AD118">
            <v>0</v>
          </cell>
          <cell r="AE118">
            <v>14318.78</v>
          </cell>
        </row>
        <row r="119">
          <cell r="A119" t="str">
            <v xml:space="preserve">       a.  Adult Foster Care</v>
          </cell>
          <cell r="B119">
            <v>50.68</v>
          </cell>
          <cell r="C119">
            <v>178.41</v>
          </cell>
          <cell r="D119">
            <v>10</v>
          </cell>
          <cell r="E119">
            <v>32.94</v>
          </cell>
          <cell r="F119">
            <v>60.68</v>
          </cell>
          <cell r="G119">
            <v>211.34999999999997</v>
          </cell>
          <cell r="I119" t="str">
            <v xml:space="preserve">       a.  Adult Foster Care</v>
          </cell>
          <cell r="J119">
            <v>0</v>
          </cell>
          <cell r="K119">
            <v>178.41</v>
          </cell>
          <cell r="L119">
            <v>0</v>
          </cell>
          <cell r="M119">
            <v>32.94</v>
          </cell>
          <cell r="N119">
            <v>0</v>
          </cell>
          <cell r="O119">
            <v>211.34999999999997</v>
          </cell>
          <cell r="Q119" t="str">
            <v xml:space="preserve">       a.  Adult Foster Care</v>
          </cell>
          <cell r="R119">
            <v>0</v>
          </cell>
          <cell r="S119">
            <v>178.41</v>
          </cell>
          <cell r="T119">
            <v>0</v>
          </cell>
          <cell r="U119">
            <v>32.94</v>
          </cell>
          <cell r="V119">
            <v>0</v>
          </cell>
          <cell r="W119">
            <v>211.34999999999997</v>
          </cell>
          <cell r="Y119" t="str">
            <v xml:space="preserve">       a.  Adult Foster Care</v>
          </cell>
          <cell r="Z119">
            <v>0</v>
          </cell>
          <cell r="AA119">
            <v>178.41</v>
          </cell>
          <cell r="AB119">
            <v>0</v>
          </cell>
          <cell r="AC119">
            <v>32.94</v>
          </cell>
          <cell r="AD119">
            <v>0</v>
          </cell>
          <cell r="AE119">
            <v>211.34999999999997</v>
          </cell>
        </row>
        <row r="120">
          <cell r="A120" t="str">
            <v xml:space="preserve">       b.  Assisted Living Home (Adult Care Home)</v>
          </cell>
          <cell r="B120">
            <v>635.75999999999988</v>
          </cell>
          <cell r="C120">
            <v>2187.61</v>
          </cell>
          <cell r="D120">
            <v>51.900000000000006</v>
          </cell>
          <cell r="E120">
            <v>159.81</v>
          </cell>
          <cell r="F120">
            <v>687.65999999999985</v>
          </cell>
          <cell r="G120">
            <v>2347.42</v>
          </cell>
          <cell r="I120" t="str">
            <v xml:space="preserve">       b.  Assisted Living Home (Adult Care Home)</v>
          </cell>
          <cell r="J120">
            <v>0</v>
          </cell>
          <cell r="K120">
            <v>2187.61</v>
          </cell>
          <cell r="L120">
            <v>0</v>
          </cell>
          <cell r="M120">
            <v>159.81</v>
          </cell>
          <cell r="N120">
            <v>0</v>
          </cell>
          <cell r="O120">
            <v>2347.42</v>
          </cell>
          <cell r="Q120" t="str">
            <v xml:space="preserve">       b.  Assisted Living Home (Adult Care Home)</v>
          </cell>
          <cell r="R120">
            <v>0</v>
          </cell>
          <cell r="S120">
            <v>2187.61</v>
          </cell>
          <cell r="T120">
            <v>0</v>
          </cell>
          <cell r="U120">
            <v>159.81</v>
          </cell>
          <cell r="V120">
            <v>0</v>
          </cell>
          <cell r="W120">
            <v>2347.42</v>
          </cell>
          <cell r="Y120" t="str">
            <v xml:space="preserve">       b.  Assisted Living Home (Adult Care Home)</v>
          </cell>
          <cell r="Z120">
            <v>0</v>
          </cell>
          <cell r="AA120">
            <v>2187.61</v>
          </cell>
          <cell r="AB120">
            <v>0</v>
          </cell>
          <cell r="AC120">
            <v>159.81</v>
          </cell>
          <cell r="AD120">
            <v>0</v>
          </cell>
          <cell r="AE120">
            <v>2347.42</v>
          </cell>
        </row>
        <row r="121">
          <cell r="A121" t="str">
            <v xml:space="preserve">       c.  Group Home (DD)</v>
          </cell>
          <cell r="B121">
            <v>1</v>
          </cell>
          <cell r="C121">
            <v>4.0299999999999994</v>
          </cell>
          <cell r="D121">
            <v>0</v>
          </cell>
          <cell r="E121">
            <v>0</v>
          </cell>
          <cell r="F121">
            <v>1</v>
          </cell>
          <cell r="G121">
            <v>4.0299999999999994</v>
          </cell>
          <cell r="I121" t="str">
            <v xml:space="preserve">       c.  Group Home (DD)</v>
          </cell>
          <cell r="J121">
            <v>0</v>
          </cell>
          <cell r="K121">
            <v>4.0299999999999994</v>
          </cell>
          <cell r="L121">
            <v>0</v>
          </cell>
          <cell r="M121">
            <v>0</v>
          </cell>
          <cell r="N121">
            <v>0</v>
          </cell>
          <cell r="O121">
            <v>4.0299999999999994</v>
          </cell>
          <cell r="Q121" t="str">
            <v xml:space="preserve">       c.  Group Home (DD)</v>
          </cell>
          <cell r="R121">
            <v>0</v>
          </cell>
          <cell r="S121">
            <v>4.0299999999999994</v>
          </cell>
          <cell r="T121">
            <v>0</v>
          </cell>
          <cell r="U121">
            <v>0</v>
          </cell>
          <cell r="V121">
            <v>0</v>
          </cell>
          <cell r="W121">
            <v>4.0299999999999994</v>
          </cell>
          <cell r="Y121" t="str">
            <v xml:space="preserve">       c.  Group Home (DD)</v>
          </cell>
          <cell r="Z121">
            <v>0</v>
          </cell>
          <cell r="AA121">
            <v>4.0299999999999994</v>
          </cell>
          <cell r="AB121">
            <v>0</v>
          </cell>
          <cell r="AC121">
            <v>0</v>
          </cell>
          <cell r="AD121">
            <v>0</v>
          </cell>
          <cell r="AE121">
            <v>4.0299999999999994</v>
          </cell>
        </row>
        <row r="122">
          <cell r="A122" t="str">
            <v xml:space="preserve">       d.  Individual Home</v>
          </cell>
          <cell r="B122">
            <v>1692.2600000000002</v>
          </cell>
          <cell r="C122">
            <v>3287.0699999999997</v>
          </cell>
          <cell r="D122">
            <v>348.81</v>
          </cell>
          <cell r="E122">
            <v>1141.04</v>
          </cell>
          <cell r="F122">
            <v>2041.0700000000002</v>
          </cell>
          <cell r="G122">
            <v>4428.1100000000006</v>
          </cell>
          <cell r="I122" t="str">
            <v xml:space="preserve">       d.  Individual Home</v>
          </cell>
          <cell r="J122">
            <v>0</v>
          </cell>
          <cell r="K122">
            <v>3287.0699999999997</v>
          </cell>
          <cell r="L122">
            <v>0</v>
          </cell>
          <cell r="M122">
            <v>1141.04</v>
          </cell>
          <cell r="N122">
            <v>0</v>
          </cell>
          <cell r="O122">
            <v>4428.1100000000006</v>
          </cell>
          <cell r="Q122" t="str">
            <v xml:space="preserve">       d.  Individual Home</v>
          </cell>
          <cell r="R122">
            <v>0</v>
          </cell>
          <cell r="S122">
            <v>3287.0699999999997</v>
          </cell>
          <cell r="T122">
            <v>0</v>
          </cell>
          <cell r="U122">
            <v>1141.04</v>
          </cell>
          <cell r="V122">
            <v>0</v>
          </cell>
          <cell r="W122">
            <v>4428.1100000000006</v>
          </cell>
          <cell r="Y122" t="str">
            <v xml:space="preserve">       d.  Individual Home</v>
          </cell>
          <cell r="Z122">
            <v>0</v>
          </cell>
          <cell r="AA122">
            <v>3287.0699999999997</v>
          </cell>
          <cell r="AB122">
            <v>0</v>
          </cell>
          <cell r="AC122">
            <v>1141.04</v>
          </cell>
          <cell r="AD122">
            <v>0</v>
          </cell>
          <cell r="AE122">
            <v>4428.1100000000006</v>
          </cell>
        </row>
        <row r="123">
          <cell r="A123" t="str">
            <v xml:space="preserve">       e.  Assisted Living Centers (SRL)</v>
          </cell>
          <cell r="B123">
            <v>836.31000000000006</v>
          </cell>
          <cell r="C123">
            <v>2881.63</v>
          </cell>
          <cell r="D123">
            <v>69.02000000000001</v>
          </cell>
          <cell r="E123">
            <v>223.98000000000002</v>
          </cell>
          <cell r="F123">
            <v>905.33</v>
          </cell>
          <cell r="G123">
            <v>3105.6099999999997</v>
          </cell>
          <cell r="I123" t="str">
            <v xml:space="preserve">       e.  Assisted Living Centers (SRL)</v>
          </cell>
          <cell r="J123">
            <v>0</v>
          </cell>
          <cell r="K123">
            <v>2881.63</v>
          </cell>
          <cell r="L123">
            <v>0</v>
          </cell>
          <cell r="M123">
            <v>223.98000000000002</v>
          </cell>
          <cell r="N123">
            <v>0</v>
          </cell>
          <cell r="O123">
            <v>3105.6099999999997</v>
          </cell>
          <cell r="Q123" t="str">
            <v xml:space="preserve">       e.  Assisted Living Centers (SRL)</v>
          </cell>
          <cell r="R123">
            <v>0</v>
          </cell>
          <cell r="S123">
            <v>2881.63</v>
          </cell>
          <cell r="T123">
            <v>0</v>
          </cell>
          <cell r="U123">
            <v>223.98000000000002</v>
          </cell>
          <cell r="V123">
            <v>0</v>
          </cell>
          <cell r="W123">
            <v>3105.6099999999997</v>
          </cell>
          <cell r="Y123" t="str">
            <v xml:space="preserve">       e.  Assisted Living Centers (SRL)</v>
          </cell>
          <cell r="Z123">
            <v>0</v>
          </cell>
          <cell r="AA123">
            <v>2881.63</v>
          </cell>
          <cell r="AB123">
            <v>0</v>
          </cell>
          <cell r="AC123">
            <v>223.98000000000002</v>
          </cell>
          <cell r="AD123">
            <v>0</v>
          </cell>
          <cell r="AE123">
            <v>3105.6099999999997</v>
          </cell>
        </row>
        <row r="124">
          <cell r="A124" t="str">
            <v xml:space="preserve">       f.  Other (Hospice)</v>
          </cell>
          <cell r="B124">
            <v>102.4</v>
          </cell>
          <cell r="C124">
            <v>353.15000000000003</v>
          </cell>
          <cell r="D124">
            <v>5.48</v>
          </cell>
          <cell r="E124">
            <v>18.22</v>
          </cell>
          <cell r="F124">
            <v>107.88</v>
          </cell>
          <cell r="G124">
            <v>371.37</v>
          </cell>
          <cell r="I124" t="str">
            <v xml:space="preserve">       f.  Other (Hospice)</v>
          </cell>
          <cell r="J124">
            <v>0</v>
          </cell>
          <cell r="K124">
            <v>353.15000000000003</v>
          </cell>
          <cell r="L124">
            <v>0</v>
          </cell>
          <cell r="M124">
            <v>18.22</v>
          </cell>
          <cell r="N124">
            <v>0</v>
          </cell>
          <cell r="O124">
            <v>371.37</v>
          </cell>
          <cell r="Q124" t="str">
            <v xml:space="preserve">       f.  Other (Hospice)</v>
          </cell>
          <cell r="R124">
            <v>0</v>
          </cell>
          <cell r="S124">
            <v>353.15000000000003</v>
          </cell>
          <cell r="T124">
            <v>0</v>
          </cell>
          <cell r="U124">
            <v>18.22</v>
          </cell>
          <cell r="V124">
            <v>0</v>
          </cell>
          <cell r="W124">
            <v>371.37</v>
          </cell>
          <cell r="Y124" t="str">
            <v xml:space="preserve">       f.  Other (Hospice)</v>
          </cell>
          <cell r="Z124">
            <v>0</v>
          </cell>
          <cell r="AA124">
            <v>353.15000000000003</v>
          </cell>
          <cell r="AB124">
            <v>0</v>
          </cell>
          <cell r="AC124">
            <v>18.22</v>
          </cell>
          <cell r="AD124">
            <v>0</v>
          </cell>
          <cell r="AE124">
            <v>371.37</v>
          </cell>
        </row>
        <row r="125">
          <cell r="A125" t="str">
            <v xml:space="preserve">       g.  Attendant Care</v>
          </cell>
          <cell r="B125">
            <v>953.89</v>
          </cell>
          <cell r="C125">
            <v>3117.28</v>
          </cell>
          <cell r="D125">
            <v>222.09</v>
          </cell>
          <cell r="E125">
            <v>733.61</v>
          </cell>
          <cell r="F125">
            <v>1175.9800000000002</v>
          </cell>
          <cell r="G125">
            <v>3850.8900000000003</v>
          </cell>
          <cell r="I125" t="str">
            <v xml:space="preserve">       g.  Attendant Care</v>
          </cell>
          <cell r="J125">
            <v>0</v>
          </cell>
          <cell r="K125">
            <v>3117.28</v>
          </cell>
          <cell r="L125">
            <v>0</v>
          </cell>
          <cell r="M125">
            <v>733.61</v>
          </cell>
          <cell r="N125">
            <v>0</v>
          </cell>
          <cell r="O125">
            <v>3850.8900000000003</v>
          </cell>
          <cell r="Q125" t="str">
            <v xml:space="preserve">       g.  Attendant Care</v>
          </cell>
          <cell r="R125">
            <v>0</v>
          </cell>
          <cell r="S125">
            <v>3117.28</v>
          </cell>
          <cell r="T125">
            <v>0</v>
          </cell>
          <cell r="U125">
            <v>733.61</v>
          </cell>
          <cell r="V125">
            <v>0</v>
          </cell>
          <cell r="W125">
            <v>3850.8900000000003</v>
          </cell>
          <cell r="Y125" t="str">
            <v xml:space="preserve">       g.  Attendant Care</v>
          </cell>
          <cell r="Z125">
            <v>0</v>
          </cell>
          <cell r="AA125">
            <v>3117.28</v>
          </cell>
          <cell r="AB125">
            <v>0</v>
          </cell>
          <cell r="AC125">
            <v>733.61</v>
          </cell>
          <cell r="AD125">
            <v>0</v>
          </cell>
          <cell r="AE125">
            <v>3850.8900000000003</v>
          </cell>
        </row>
        <row r="126">
          <cell r="A126" t="str">
            <v xml:space="preserve">   8.  Acute Care</v>
          </cell>
          <cell r="B126">
            <v>43.24</v>
          </cell>
          <cell r="C126">
            <v>153.07999999999998</v>
          </cell>
          <cell r="D126">
            <v>28.15</v>
          </cell>
          <cell r="E126">
            <v>96.039999999999992</v>
          </cell>
          <cell r="F126">
            <v>71.39</v>
          </cell>
          <cell r="G126">
            <v>249.11999999999998</v>
          </cell>
          <cell r="I126" t="str">
            <v xml:space="preserve">   8.  Acute Care</v>
          </cell>
          <cell r="J126">
            <v>0</v>
          </cell>
          <cell r="K126">
            <v>153.07999999999998</v>
          </cell>
          <cell r="L126">
            <v>0</v>
          </cell>
          <cell r="M126">
            <v>96.039999999999992</v>
          </cell>
          <cell r="N126">
            <v>0</v>
          </cell>
          <cell r="O126">
            <v>249.11999999999998</v>
          </cell>
          <cell r="Q126" t="str">
            <v xml:space="preserve">   8.  Acute Care</v>
          </cell>
          <cell r="R126">
            <v>0</v>
          </cell>
          <cell r="S126">
            <v>153.07999999999998</v>
          </cell>
          <cell r="T126">
            <v>0</v>
          </cell>
          <cell r="U126">
            <v>96.039999999999992</v>
          </cell>
          <cell r="V126">
            <v>0</v>
          </cell>
          <cell r="W126">
            <v>249.11999999999998</v>
          </cell>
          <cell r="Y126" t="str">
            <v xml:space="preserve">   8.  Acute Care</v>
          </cell>
          <cell r="Z126">
            <v>0</v>
          </cell>
          <cell r="AA126">
            <v>153.07999999999998</v>
          </cell>
          <cell r="AB126">
            <v>0</v>
          </cell>
          <cell r="AC126">
            <v>96.039999999999992</v>
          </cell>
          <cell r="AD126">
            <v>0</v>
          </cell>
          <cell r="AE126">
            <v>249.11999999999998</v>
          </cell>
        </row>
        <row r="127">
          <cell r="A127" t="str">
            <v xml:space="preserve">   9.  Ventilator</v>
          </cell>
          <cell r="B127">
            <v>21.19</v>
          </cell>
          <cell r="C127">
            <v>72.25</v>
          </cell>
          <cell r="D127">
            <v>19</v>
          </cell>
          <cell r="E127">
            <v>65.510000000000005</v>
          </cell>
          <cell r="F127">
            <v>40.19</v>
          </cell>
          <cell r="G127">
            <v>137.76</v>
          </cell>
          <cell r="I127" t="str">
            <v xml:space="preserve">   9.  Ventilator</v>
          </cell>
          <cell r="J127">
            <v>0</v>
          </cell>
          <cell r="K127">
            <v>72.25</v>
          </cell>
          <cell r="L127">
            <v>0</v>
          </cell>
          <cell r="M127">
            <v>65.510000000000005</v>
          </cell>
          <cell r="N127">
            <v>0</v>
          </cell>
          <cell r="O127">
            <v>137.76</v>
          </cell>
          <cell r="Q127" t="str">
            <v xml:space="preserve">   9.  Ventilator</v>
          </cell>
          <cell r="R127">
            <v>0</v>
          </cell>
          <cell r="S127">
            <v>72.25</v>
          </cell>
          <cell r="T127">
            <v>0</v>
          </cell>
          <cell r="U127">
            <v>65.510000000000005</v>
          </cell>
          <cell r="V127">
            <v>0</v>
          </cell>
          <cell r="W127">
            <v>137.76</v>
          </cell>
          <cell r="Y127" t="str">
            <v xml:space="preserve">   9.  Ventilator</v>
          </cell>
          <cell r="Z127">
            <v>0</v>
          </cell>
          <cell r="AA127">
            <v>72.25</v>
          </cell>
          <cell r="AB127">
            <v>0</v>
          </cell>
          <cell r="AC127">
            <v>65.510000000000005</v>
          </cell>
          <cell r="AD127">
            <v>0</v>
          </cell>
          <cell r="AE127">
            <v>137.76</v>
          </cell>
        </row>
        <row r="128">
          <cell r="A128" t="str">
            <v xml:space="preserve">  10.  Prior Period</v>
          </cell>
          <cell r="B128">
            <v>227.78629999999998</v>
          </cell>
          <cell r="C128">
            <v>685.04200000000003</v>
          </cell>
          <cell r="D128">
            <v>16.253699999999998</v>
          </cell>
          <cell r="E128">
            <v>50.458000000000006</v>
          </cell>
          <cell r="F128">
            <v>244.04</v>
          </cell>
          <cell r="G128">
            <v>735.50000000000011</v>
          </cell>
          <cell r="I128" t="str">
            <v xml:space="preserve">  10.  Prior Period</v>
          </cell>
          <cell r="J128">
            <v>0</v>
          </cell>
          <cell r="K128">
            <v>685.04200000000003</v>
          </cell>
          <cell r="L128">
            <v>0</v>
          </cell>
          <cell r="M128">
            <v>50.458000000000006</v>
          </cell>
          <cell r="N128">
            <v>0</v>
          </cell>
          <cell r="O128">
            <v>735.50000000000011</v>
          </cell>
          <cell r="Q128" t="str">
            <v xml:space="preserve">  10.  Prior Period</v>
          </cell>
          <cell r="R128">
            <v>0</v>
          </cell>
          <cell r="S128">
            <v>685.04200000000003</v>
          </cell>
          <cell r="T128">
            <v>0</v>
          </cell>
          <cell r="U128">
            <v>50.458000000000006</v>
          </cell>
          <cell r="V128">
            <v>0</v>
          </cell>
          <cell r="W128">
            <v>735.50000000000011</v>
          </cell>
          <cell r="Y128" t="str">
            <v xml:space="preserve">  10.  Prior Period</v>
          </cell>
          <cell r="Z128">
            <v>0</v>
          </cell>
          <cell r="AA128">
            <v>685.04200000000003</v>
          </cell>
          <cell r="AB128">
            <v>0</v>
          </cell>
          <cell r="AC128">
            <v>50.458000000000006</v>
          </cell>
          <cell r="AD128">
            <v>0</v>
          </cell>
          <cell r="AE128">
            <v>735.50000000000011</v>
          </cell>
        </row>
        <row r="129">
          <cell r="A129" t="str">
            <v xml:space="preserve">  11.  Other - Not Placed</v>
          </cell>
          <cell r="B129">
            <v>-566.36</v>
          </cell>
          <cell r="C129">
            <v>-1937.4099999999978</v>
          </cell>
          <cell r="D129">
            <v>-84.3</v>
          </cell>
          <cell r="E129">
            <v>-277.03999999999996</v>
          </cell>
          <cell r="F129">
            <v>-650.66</v>
          </cell>
          <cell r="G129">
            <v>-2214.449999999998</v>
          </cell>
          <cell r="I129" t="str">
            <v xml:space="preserve">  11.  Other - Not Placed</v>
          </cell>
          <cell r="J129">
            <v>0</v>
          </cell>
          <cell r="K129">
            <v>-1937.4099999999978</v>
          </cell>
          <cell r="L129">
            <v>0</v>
          </cell>
          <cell r="M129">
            <v>-277.03999999999996</v>
          </cell>
          <cell r="N129">
            <v>0</v>
          </cell>
          <cell r="O129">
            <v>-2214.449999999998</v>
          </cell>
          <cell r="Q129" t="str">
            <v xml:space="preserve">  11.  Other - Not Placed</v>
          </cell>
          <cell r="R129">
            <v>0</v>
          </cell>
          <cell r="S129">
            <v>-1937.4099999999978</v>
          </cell>
          <cell r="T129">
            <v>0</v>
          </cell>
          <cell r="U129">
            <v>-277.03999999999996</v>
          </cell>
          <cell r="V129">
            <v>0</v>
          </cell>
          <cell r="W129">
            <v>-2214.449999999998</v>
          </cell>
          <cell r="Y129" t="str">
            <v xml:space="preserve">  11.  Other - Not Placed</v>
          </cell>
          <cell r="Z129">
            <v>0</v>
          </cell>
          <cell r="AA129">
            <v>-1937.4099999999978</v>
          </cell>
          <cell r="AB129">
            <v>0</v>
          </cell>
          <cell r="AC129">
            <v>-277.03999999999996</v>
          </cell>
          <cell r="AD129">
            <v>0</v>
          </cell>
          <cell r="AE129">
            <v>-2214.449999999998</v>
          </cell>
        </row>
        <row r="131">
          <cell r="A131" t="str">
            <v>C.   Acute Patient Day Information</v>
          </cell>
          <cell r="I131" t="str">
            <v>C.   Acute Patient Day Information</v>
          </cell>
          <cell r="Q131" t="str">
            <v>C.   Acute Patient Day Information</v>
          </cell>
          <cell r="Y131" t="str">
            <v>C.   Acute Patient Day Information</v>
          </cell>
        </row>
        <row r="132">
          <cell r="A132" t="str">
            <v xml:space="preserve">       a.  Admissions</v>
          </cell>
          <cell r="B132">
            <v>418</v>
          </cell>
          <cell r="C132">
            <v>1121</v>
          </cell>
          <cell r="D132">
            <v>64</v>
          </cell>
          <cell r="E132">
            <v>211</v>
          </cell>
          <cell r="F132">
            <v>482</v>
          </cell>
          <cell r="G132">
            <v>1332</v>
          </cell>
          <cell r="I132" t="str">
            <v xml:space="preserve">       a.  Admissions</v>
          </cell>
          <cell r="J132">
            <v>0</v>
          </cell>
          <cell r="K132">
            <v>1121</v>
          </cell>
          <cell r="L132">
            <v>0</v>
          </cell>
          <cell r="M132">
            <v>211</v>
          </cell>
          <cell r="N132">
            <v>0</v>
          </cell>
          <cell r="O132">
            <v>1332</v>
          </cell>
          <cell r="Q132" t="str">
            <v xml:space="preserve">       a.  Admissions</v>
          </cell>
          <cell r="R132">
            <v>0</v>
          </cell>
          <cell r="S132">
            <v>1121</v>
          </cell>
          <cell r="T132">
            <v>0</v>
          </cell>
          <cell r="U132">
            <v>211</v>
          </cell>
          <cell r="V132">
            <v>0</v>
          </cell>
          <cell r="W132">
            <v>1332</v>
          </cell>
          <cell r="Y132" t="str">
            <v xml:space="preserve">       a.  Admissions</v>
          </cell>
          <cell r="Z132">
            <v>0</v>
          </cell>
          <cell r="AA132">
            <v>1121</v>
          </cell>
          <cell r="AB132">
            <v>0</v>
          </cell>
          <cell r="AC132">
            <v>211</v>
          </cell>
          <cell r="AD132">
            <v>0</v>
          </cell>
          <cell r="AE132">
            <v>1332</v>
          </cell>
        </row>
        <row r="133">
          <cell r="A133" t="str">
            <v xml:space="preserve">       b.  Patient Days</v>
          </cell>
          <cell r="B133">
            <v>2180</v>
          </cell>
          <cell r="C133">
            <v>6094</v>
          </cell>
          <cell r="D133">
            <v>423</v>
          </cell>
          <cell r="E133">
            <v>1231</v>
          </cell>
          <cell r="F133">
            <v>2603</v>
          </cell>
          <cell r="G133">
            <v>7325</v>
          </cell>
          <cell r="I133" t="str">
            <v xml:space="preserve">       b.  Patient Days</v>
          </cell>
          <cell r="J133">
            <v>0</v>
          </cell>
          <cell r="K133">
            <v>6094</v>
          </cell>
          <cell r="L133">
            <v>0</v>
          </cell>
          <cell r="M133">
            <v>1231</v>
          </cell>
          <cell r="N133">
            <v>0</v>
          </cell>
          <cell r="O133">
            <v>7325</v>
          </cell>
          <cell r="Q133" t="str">
            <v xml:space="preserve">       b.  Patient Days</v>
          </cell>
          <cell r="R133">
            <v>0</v>
          </cell>
          <cell r="S133">
            <v>6094</v>
          </cell>
          <cell r="T133">
            <v>0</v>
          </cell>
          <cell r="U133">
            <v>1231</v>
          </cell>
          <cell r="V133">
            <v>0</v>
          </cell>
          <cell r="W133">
            <v>7325</v>
          </cell>
          <cell r="Y133" t="str">
            <v xml:space="preserve">       b.  Patient Days</v>
          </cell>
          <cell r="Z133">
            <v>0</v>
          </cell>
          <cell r="AA133">
            <v>6094</v>
          </cell>
          <cell r="AB133">
            <v>0</v>
          </cell>
          <cell r="AC133">
            <v>1231</v>
          </cell>
          <cell r="AD133">
            <v>0</v>
          </cell>
          <cell r="AE133">
            <v>7325</v>
          </cell>
        </row>
        <row r="134">
          <cell r="A134" t="str">
            <v xml:space="preserve">       c.  Discharges</v>
          </cell>
          <cell r="B134">
            <v>385</v>
          </cell>
          <cell r="C134">
            <v>1069</v>
          </cell>
          <cell r="D134">
            <v>65</v>
          </cell>
          <cell r="E134">
            <v>198</v>
          </cell>
          <cell r="F134">
            <v>450</v>
          </cell>
          <cell r="G134">
            <v>1267</v>
          </cell>
          <cell r="I134" t="str">
            <v xml:space="preserve">       c.  Discharges</v>
          </cell>
          <cell r="J134">
            <v>0</v>
          </cell>
          <cell r="K134">
            <v>1069</v>
          </cell>
          <cell r="L134">
            <v>0</v>
          </cell>
          <cell r="M134">
            <v>198</v>
          </cell>
          <cell r="N134">
            <v>0</v>
          </cell>
          <cell r="O134">
            <v>1267</v>
          </cell>
          <cell r="Q134" t="str">
            <v xml:space="preserve">       c.  Discharges</v>
          </cell>
          <cell r="R134">
            <v>0</v>
          </cell>
          <cell r="S134">
            <v>1069</v>
          </cell>
          <cell r="T134">
            <v>0</v>
          </cell>
          <cell r="U134">
            <v>198</v>
          </cell>
          <cell r="V134">
            <v>0</v>
          </cell>
          <cell r="W134">
            <v>1267</v>
          </cell>
          <cell r="Y134" t="str">
            <v xml:space="preserve">       c.  Discharges</v>
          </cell>
          <cell r="Z134">
            <v>0</v>
          </cell>
          <cell r="AA134">
            <v>1069</v>
          </cell>
          <cell r="AB134">
            <v>0</v>
          </cell>
          <cell r="AC134">
            <v>198</v>
          </cell>
          <cell r="AD134">
            <v>0</v>
          </cell>
          <cell r="AE134">
            <v>1267</v>
          </cell>
        </row>
        <row r="135">
          <cell r="A135" t="str">
            <v xml:space="preserve">       d.  Discharge Days</v>
          </cell>
          <cell r="B135">
            <v>1727</v>
          </cell>
          <cell r="C135">
            <v>4799</v>
          </cell>
          <cell r="D135">
            <v>344</v>
          </cell>
          <cell r="E135">
            <v>966</v>
          </cell>
          <cell r="F135">
            <v>2071</v>
          </cell>
          <cell r="G135">
            <v>5765</v>
          </cell>
          <cell r="I135" t="str">
            <v xml:space="preserve">       d.  Discharge Days</v>
          </cell>
          <cell r="J135">
            <v>0</v>
          </cell>
          <cell r="K135">
            <v>4799</v>
          </cell>
          <cell r="L135">
            <v>0</v>
          </cell>
          <cell r="M135">
            <v>966</v>
          </cell>
          <cell r="N135">
            <v>0</v>
          </cell>
          <cell r="O135">
            <v>5765</v>
          </cell>
          <cell r="Q135" t="str">
            <v xml:space="preserve">       d.  Discharge Days</v>
          </cell>
          <cell r="R135">
            <v>0</v>
          </cell>
          <cell r="S135">
            <v>4799</v>
          </cell>
          <cell r="T135">
            <v>0</v>
          </cell>
          <cell r="U135">
            <v>966</v>
          </cell>
          <cell r="V135">
            <v>0</v>
          </cell>
          <cell r="W135">
            <v>5765</v>
          </cell>
          <cell r="Y135" t="str">
            <v xml:space="preserve">       d.  Discharge Days</v>
          </cell>
          <cell r="Z135">
            <v>0</v>
          </cell>
          <cell r="AA135">
            <v>4799</v>
          </cell>
          <cell r="AB135">
            <v>0</v>
          </cell>
          <cell r="AC135">
            <v>966</v>
          </cell>
          <cell r="AD135">
            <v>0</v>
          </cell>
          <cell r="AE135">
            <v>5765</v>
          </cell>
        </row>
        <row r="136">
          <cell r="A136" t="str">
            <v xml:space="preserve">       e.  Average Length of Stay</v>
          </cell>
          <cell r="B136">
            <v>4.4857142857142858</v>
          </cell>
          <cell r="C136">
            <v>4.489242282507016</v>
          </cell>
          <cell r="D136">
            <v>5.2923076923076922</v>
          </cell>
          <cell r="E136">
            <v>4.8787878787878789</v>
          </cell>
          <cell r="F136">
            <v>4.6022222222222222</v>
          </cell>
          <cell r="G136">
            <v>4.5501183898973956</v>
          </cell>
          <cell r="I136" t="str">
            <v xml:space="preserve">       e.  Average Length of Stay</v>
          </cell>
          <cell r="J136">
            <v>0</v>
          </cell>
          <cell r="K136">
            <v>4.489242282507016</v>
          </cell>
          <cell r="L136">
            <v>0</v>
          </cell>
          <cell r="M136">
            <v>4.8787878787878789</v>
          </cell>
          <cell r="N136">
            <v>0</v>
          </cell>
          <cell r="O136">
            <v>4.5501183898973956</v>
          </cell>
          <cell r="Q136" t="str">
            <v xml:space="preserve">       e.  Average Length of Stay</v>
          </cell>
          <cell r="R136">
            <v>0</v>
          </cell>
          <cell r="S136">
            <v>4.489242282507016</v>
          </cell>
          <cell r="T136">
            <v>0</v>
          </cell>
          <cell r="U136">
            <v>4.8787878787878789</v>
          </cell>
          <cell r="V136">
            <v>0</v>
          </cell>
          <cell r="W136">
            <v>4.5501183898973956</v>
          </cell>
          <cell r="Y136" t="str">
            <v xml:space="preserve">       e.  Average Length of Stay</v>
          </cell>
          <cell r="Z136">
            <v>0</v>
          </cell>
          <cell r="AA136">
            <v>4.489242282507016</v>
          </cell>
          <cell r="AB136">
            <v>0</v>
          </cell>
          <cell r="AC136">
            <v>4.8787878787878789</v>
          </cell>
          <cell r="AD136">
            <v>0</v>
          </cell>
          <cell r="AE136">
            <v>4.5501183898973956</v>
          </cell>
        </row>
        <row r="138">
          <cell r="A138" t="str">
            <v>D.   Emergency Room Visits</v>
          </cell>
          <cell r="B138">
            <v>143</v>
          </cell>
          <cell r="C138">
            <v>454</v>
          </cell>
          <cell r="D138">
            <v>61</v>
          </cell>
          <cell r="E138">
            <v>199</v>
          </cell>
          <cell r="F138">
            <v>204</v>
          </cell>
          <cell r="G138">
            <v>653</v>
          </cell>
          <cell r="I138" t="str">
            <v>D.   Emergency Room Visits</v>
          </cell>
          <cell r="J138">
            <v>0</v>
          </cell>
          <cell r="K138">
            <v>454</v>
          </cell>
          <cell r="L138">
            <v>0</v>
          </cell>
          <cell r="M138">
            <v>199</v>
          </cell>
          <cell r="N138">
            <v>0</v>
          </cell>
          <cell r="O138">
            <v>653</v>
          </cell>
          <cell r="Q138" t="str">
            <v>D.   Emergency Room Visits</v>
          </cell>
          <cell r="R138">
            <v>0</v>
          </cell>
          <cell r="S138">
            <v>454</v>
          </cell>
          <cell r="T138">
            <v>0</v>
          </cell>
          <cell r="U138">
            <v>199</v>
          </cell>
          <cell r="V138">
            <v>0</v>
          </cell>
          <cell r="W138">
            <v>653</v>
          </cell>
          <cell r="Y138" t="str">
            <v>D.   Emergency Room Visits</v>
          </cell>
          <cell r="Z138">
            <v>0</v>
          </cell>
          <cell r="AA138">
            <v>454</v>
          </cell>
          <cell r="AB138">
            <v>0</v>
          </cell>
          <cell r="AC138">
            <v>199</v>
          </cell>
          <cell r="AD138">
            <v>0</v>
          </cell>
          <cell r="AE138">
            <v>653</v>
          </cell>
        </row>
      </sheetData>
      <sheetData sheetId="2" refreshError="1">
        <row r="4">
          <cell r="A4" t="str">
            <v>Program Contractor Financial Reporting Systems - Report #11C Utilization Data Report Consolidated by County</v>
          </cell>
          <cell r="I4" t="str">
            <v>Program Contractor Financial Reporting Systems - Report #11C Utilization Data Report Consolidated by County</v>
          </cell>
          <cell r="Q4" t="str">
            <v>Program Contractor Financial Reporting Systems - Report #11C Utilization Data Report Consolidated by County</v>
          </cell>
          <cell r="Y4" t="str">
            <v>Program Contractor Financial Reporting Systems - Report #11C Utilization Data Report Consolidated by County</v>
          </cell>
        </row>
        <row r="6">
          <cell r="A6" t="str">
            <v>Statement for Program Contractor 110049 - Evercare of Arizona, Inc.</v>
          </cell>
          <cell r="F6" t="str">
            <v>County:</v>
          </cell>
          <cell r="G6" t="str">
            <v>Apache</v>
          </cell>
          <cell r="I6" t="str">
            <v>Statement for Program Contractor 110049 - Evercare of Arizona, Inc.</v>
          </cell>
          <cell r="N6" t="str">
            <v>County:</v>
          </cell>
          <cell r="O6" t="str">
            <v>Apache</v>
          </cell>
          <cell r="Q6" t="str">
            <v>Statement for Program Contractor 110049 - Evercare of Arizona, Inc.</v>
          </cell>
          <cell r="V6" t="str">
            <v>County:</v>
          </cell>
          <cell r="W6" t="str">
            <v>Apache</v>
          </cell>
          <cell r="Y6" t="str">
            <v>Statement for Program Contractor 110049 - Evercare of Arizona, Inc.</v>
          </cell>
          <cell r="AD6" t="str">
            <v>County:</v>
          </cell>
          <cell r="AE6" t="str">
            <v>Apache</v>
          </cell>
        </row>
        <row r="8">
          <cell r="A8" t="str">
            <v>For the Quarter ending 12/31/2005 in the Fiscal Year ending 9/30/2006</v>
          </cell>
          <cell r="F8" t="str">
            <v>Page 1 of 8</v>
          </cell>
          <cell r="I8" t="str">
            <v>For the Quarter ending 3/31/2006 in the Fiscal Year ending 9/30/2006</v>
          </cell>
          <cell r="N8" t="str">
            <v>Page 1 of 8</v>
          </cell>
          <cell r="Q8" t="str">
            <v>For the Quarter ending 6/30/2006 in the Fiscal Year ending 9/30/2006</v>
          </cell>
          <cell r="V8" t="str">
            <v>Page 1 of 8</v>
          </cell>
          <cell r="Y8" t="str">
            <v>For the Quarter ending 9/30/2006 in the Fiscal Year ending 9/30/2006</v>
          </cell>
          <cell r="AD8" t="str">
            <v>Page 1 of 8</v>
          </cell>
        </row>
        <row r="11">
          <cell r="A11" t="str">
            <v>Utilization Data Report by County</v>
          </cell>
          <cell r="I11" t="str">
            <v>Utilization Data Report by County</v>
          </cell>
          <cell r="Q11" t="str">
            <v>Utilization Data Report by County</v>
          </cell>
          <cell r="Y11" t="str">
            <v>Utilization Data Report by County</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row>
        <row r="16">
          <cell r="A16" t="str">
            <v>A.   Enrollees (At End of Period)</v>
          </cell>
          <cell r="B16">
            <v>58</v>
          </cell>
          <cell r="D16">
            <v>18</v>
          </cell>
          <cell r="F16">
            <v>76</v>
          </cell>
          <cell r="I16" t="str">
            <v>A.   Enrollees (At End of Period)</v>
          </cell>
          <cell r="J16">
            <v>0</v>
          </cell>
          <cell r="L16">
            <v>0</v>
          </cell>
          <cell r="N16">
            <v>0</v>
          </cell>
          <cell r="Q16" t="str">
            <v>A.   Enrollees (At End of Period)</v>
          </cell>
          <cell r="R16">
            <v>0</v>
          </cell>
          <cell r="T16">
            <v>0</v>
          </cell>
          <cell r="V16">
            <v>0</v>
          </cell>
          <cell r="Y16" t="str">
            <v>A.   Enrollees (At End of Period)</v>
          </cell>
          <cell r="Z16">
            <v>0</v>
          </cell>
          <cell r="AB16">
            <v>0</v>
          </cell>
          <cell r="AD16">
            <v>0</v>
          </cell>
        </row>
        <row r="18">
          <cell r="A18" t="str">
            <v>B.   Member Months (Unduplicated)</v>
          </cell>
          <cell r="B18">
            <v>190.88670000000002</v>
          </cell>
          <cell r="C18">
            <v>190.88670000000002</v>
          </cell>
          <cell r="D18">
            <v>54.75</v>
          </cell>
          <cell r="E18">
            <v>54.75</v>
          </cell>
          <cell r="F18">
            <v>245.63670000000002</v>
          </cell>
          <cell r="G18">
            <v>245.63670000000002</v>
          </cell>
          <cell r="I18" t="str">
            <v>B.   Member Months (Unduplicated)</v>
          </cell>
          <cell r="J18">
            <v>0</v>
          </cell>
          <cell r="K18">
            <v>190.88670000000002</v>
          </cell>
          <cell r="L18">
            <v>0</v>
          </cell>
          <cell r="M18">
            <v>54.75</v>
          </cell>
          <cell r="N18">
            <v>0</v>
          </cell>
          <cell r="O18">
            <v>245.63670000000002</v>
          </cell>
          <cell r="Q18" t="str">
            <v>B.   Member Months (Unduplicated)</v>
          </cell>
          <cell r="R18">
            <v>0</v>
          </cell>
          <cell r="S18">
            <v>190.88670000000002</v>
          </cell>
          <cell r="T18">
            <v>0</v>
          </cell>
          <cell r="U18">
            <v>54.75</v>
          </cell>
          <cell r="V18">
            <v>0</v>
          </cell>
          <cell r="W18">
            <v>245.63670000000002</v>
          </cell>
          <cell r="Y18" t="str">
            <v>B.   Member Months (Unduplicated)</v>
          </cell>
          <cell r="Z18">
            <v>0</v>
          </cell>
          <cell r="AA18">
            <v>190.88670000000002</v>
          </cell>
          <cell r="AB18">
            <v>0</v>
          </cell>
          <cell r="AC18">
            <v>54.75</v>
          </cell>
          <cell r="AD18">
            <v>0</v>
          </cell>
          <cell r="AE18">
            <v>245.63670000000002</v>
          </cell>
        </row>
        <row r="19">
          <cell r="A19" t="str">
            <v xml:space="preserve">   Institutional Member Months Total</v>
          </cell>
          <cell r="B19">
            <v>15.7</v>
          </cell>
          <cell r="C19">
            <v>15.7</v>
          </cell>
          <cell r="D19">
            <v>11.14</v>
          </cell>
          <cell r="E19">
            <v>11.14</v>
          </cell>
          <cell r="F19">
            <v>26.840000000000003</v>
          </cell>
          <cell r="G19">
            <v>26.840000000000003</v>
          </cell>
          <cell r="I19" t="str">
            <v xml:space="preserve">   Institutional Member Months Total</v>
          </cell>
          <cell r="J19">
            <v>0</v>
          </cell>
          <cell r="K19">
            <v>15.7</v>
          </cell>
          <cell r="L19">
            <v>0</v>
          </cell>
          <cell r="M19">
            <v>11.14</v>
          </cell>
          <cell r="N19">
            <v>0</v>
          </cell>
          <cell r="O19">
            <v>26.840000000000003</v>
          </cell>
          <cell r="Q19" t="str">
            <v xml:space="preserve">   Institutional Member Months Total</v>
          </cell>
          <cell r="R19">
            <v>0</v>
          </cell>
          <cell r="S19">
            <v>15.7</v>
          </cell>
          <cell r="T19">
            <v>0</v>
          </cell>
          <cell r="U19">
            <v>11.14</v>
          </cell>
          <cell r="V19">
            <v>0</v>
          </cell>
          <cell r="W19">
            <v>26.840000000000003</v>
          </cell>
          <cell r="Y19" t="str">
            <v xml:space="preserve">   Institutional Member Months Total</v>
          </cell>
          <cell r="Z19">
            <v>0</v>
          </cell>
          <cell r="AA19">
            <v>15.7</v>
          </cell>
          <cell r="AB19">
            <v>0</v>
          </cell>
          <cell r="AC19">
            <v>11.14</v>
          </cell>
          <cell r="AD19">
            <v>0</v>
          </cell>
          <cell r="AE19">
            <v>26.840000000000003</v>
          </cell>
        </row>
        <row r="20">
          <cell r="A20" t="str">
            <v xml:space="preserve">   1.  Level I</v>
          </cell>
          <cell r="B20">
            <v>6.81</v>
          </cell>
          <cell r="C20">
            <v>6.81</v>
          </cell>
          <cell r="D20">
            <v>8.14</v>
          </cell>
          <cell r="E20">
            <v>8.14</v>
          </cell>
          <cell r="F20">
            <v>14.950000000000001</v>
          </cell>
          <cell r="G20">
            <v>14.950000000000001</v>
          </cell>
          <cell r="I20" t="str">
            <v xml:space="preserve">   1.  Level I</v>
          </cell>
          <cell r="J20">
            <v>0</v>
          </cell>
          <cell r="K20">
            <v>6.81</v>
          </cell>
          <cell r="L20">
            <v>0</v>
          </cell>
          <cell r="M20">
            <v>8.14</v>
          </cell>
          <cell r="N20">
            <v>0</v>
          </cell>
          <cell r="O20">
            <v>14.950000000000001</v>
          </cell>
          <cell r="Q20" t="str">
            <v xml:space="preserve">   1.  Level I</v>
          </cell>
          <cell r="R20">
            <v>0</v>
          </cell>
          <cell r="S20">
            <v>6.81</v>
          </cell>
          <cell r="T20">
            <v>0</v>
          </cell>
          <cell r="U20">
            <v>8.14</v>
          </cell>
          <cell r="V20">
            <v>0</v>
          </cell>
          <cell r="W20">
            <v>14.950000000000001</v>
          </cell>
          <cell r="Y20" t="str">
            <v xml:space="preserve">   1.  Level I</v>
          </cell>
          <cell r="Z20">
            <v>0</v>
          </cell>
          <cell r="AA20">
            <v>6.81</v>
          </cell>
          <cell r="AB20">
            <v>0</v>
          </cell>
          <cell r="AC20">
            <v>8.14</v>
          </cell>
          <cell r="AD20">
            <v>0</v>
          </cell>
          <cell r="AE20">
            <v>14.950000000000001</v>
          </cell>
        </row>
        <row r="21">
          <cell r="A21" t="str">
            <v xml:space="preserve">   2.  Level II</v>
          </cell>
          <cell r="B21">
            <v>6.73</v>
          </cell>
          <cell r="C21">
            <v>6.73</v>
          </cell>
          <cell r="D21">
            <v>3</v>
          </cell>
          <cell r="E21">
            <v>3</v>
          </cell>
          <cell r="F21">
            <v>9.73</v>
          </cell>
          <cell r="G21">
            <v>9.73</v>
          </cell>
          <cell r="I21" t="str">
            <v xml:space="preserve">   2.  Level II</v>
          </cell>
          <cell r="J21">
            <v>0</v>
          </cell>
          <cell r="K21">
            <v>6.73</v>
          </cell>
          <cell r="L21">
            <v>0</v>
          </cell>
          <cell r="M21">
            <v>3</v>
          </cell>
          <cell r="N21">
            <v>0</v>
          </cell>
          <cell r="O21">
            <v>9.73</v>
          </cell>
          <cell r="Q21" t="str">
            <v xml:space="preserve">   2.  Level II</v>
          </cell>
          <cell r="R21">
            <v>0</v>
          </cell>
          <cell r="S21">
            <v>6.73</v>
          </cell>
          <cell r="T21">
            <v>0</v>
          </cell>
          <cell r="U21">
            <v>3</v>
          </cell>
          <cell r="V21">
            <v>0</v>
          </cell>
          <cell r="W21">
            <v>9.73</v>
          </cell>
          <cell r="Y21" t="str">
            <v xml:space="preserve">   2.  Level II</v>
          </cell>
          <cell r="Z21">
            <v>0</v>
          </cell>
          <cell r="AA21">
            <v>6.73</v>
          </cell>
          <cell r="AB21">
            <v>0</v>
          </cell>
          <cell r="AC21">
            <v>3</v>
          </cell>
          <cell r="AD21">
            <v>0</v>
          </cell>
          <cell r="AE21">
            <v>9.73</v>
          </cell>
        </row>
        <row r="22">
          <cell r="A22" t="str">
            <v xml:space="preserve">   3.  Level III</v>
          </cell>
          <cell r="B22">
            <v>2.16</v>
          </cell>
          <cell r="C22">
            <v>2.16</v>
          </cell>
          <cell r="D22">
            <v>0</v>
          </cell>
          <cell r="E22">
            <v>0</v>
          </cell>
          <cell r="F22">
            <v>2.16</v>
          </cell>
          <cell r="G22">
            <v>2.16</v>
          </cell>
          <cell r="I22" t="str">
            <v xml:space="preserve">   3.  Level III</v>
          </cell>
          <cell r="J22">
            <v>0</v>
          </cell>
          <cell r="K22">
            <v>2.16</v>
          </cell>
          <cell r="L22">
            <v>0</v>
          </cell>
          <cell r="M22">
            <v>0</v>
          </cell>
          <cell r="N22">
            <v>0</v>
          </cell>
          <cell r="O22">
            <v>2.16</v>
          </cell>
          <cell r="Q22" t="str">
            <v xml:space="preserve">   3.  Level III</v>
          </cell>
          <cell r="R22">
            <v>0</v>
          </cell>
          <cell r="S22">
            <v>2.16</v>
          </cell>
          <cell r="T22">
            <v>0</v>
          </cell>
          <cell r="U22">
            <v>0</v>
          </cell>
          <cell r="V22">
            <v>0</v>
          </cell>
          <cell r="W22">
            <v>2.16</v>
          </cell>
          <cell r="Y22" t="str">
            <v xml:space="preserve">   3.  Level III</v>
          </cell>
          <cell r="Z22">
            <v>0</v>
          </cell>
          <cell r="AA22">
            <v>2.16</v>
          </cell>
          <cell r="AB22">
            <v>0</v>
          </cell>
          <cell r="AC22">
            <v>0</v>
          </cell>
          <cell r="AD22">
            <v>0</v>
          </cell>
          <cell r="AE22">
            <v>2.16</v>
          </cell>
        </row>
        <row r="23">
          <cell r="A23" t="str">
            <v xml:space="preserve">   4.  Level IV</v>
          </cell>
          <cell r="B23">
            <v>0</v>
          </cell>
          <cell r="C23">
            <v>0</v>
          </cell>
          <cell r="D23">
            <v>0</v>
          </cell>
          <cell r="E23">
            <v>0</v>
          </cell>
          <cell r="F23">
            <v>0</v>
          </cell>
          <cell r="G23">
            <v>0</v>
          </cell>
          <cell r="I23" t="str">
            <v xml:space="preserve">   4.  Level IV</v>
          </cell>
          <cell r="J23">
            <v>0</v>
          </cell>
          <cell r="K23">
            <v>0</v>
          </cell>
          <cell r="L23">
            <v>0</v>
          </cell>
          <cell r="M23">
            <v>0</v>
          </cell>
          <cell r="N23">
            <v>0</v>
          </cell>
          <cell r="O23">
            <v>0</v>
          </cell>
          <cell r="Q23" t="str">
            <v xml:space="preserve">   4.  Level IV</v>
          </cell>
          <cell r="R23">
            <v>0</v>
          </cell>
          <cell r="S23">
            <v>0</v>
          </cell>
          <cell r="T23">
            <v>0</v>
          </cell>
          <cell r="U23">
            <v>0</v>
          </cell>
          <cell r="V23">
            <v>0</v>
          </cell>
          <cell r="W23">
            <v>0</v>
          </cell>
          <cell r="Y23" t="str">
            <v xml:space="preserve">   4.  Level IV</v>
          </cell>
          <cell r="Z23">
            <v>0</v>
          </cell>
          <cell r="AA23">
            <v>0</v>
          </cell>
          <cell r="AB23">
            <v>0</v>
          </cell>
          <cell r="AC23">
            <v>0</v>
          </cell>
          <cell r="AD23">
            <v>0</v>
          </cell>
          <cell r="AE23">
            <v>0</v>
          </cell>
        </row>
        <row r="24">
          <cell r="A24" t="str">
            <v xml:space="preserve">   5.</v>
          </cell>
          <cell r="I24" t="str">
            <v xml:space="preserve">   5.</v>
          </cell>
          <cell r="Q24" t="str">
            <v xml:space="preserve">   5.</v>
          </cell>
          <cell r="Y24" t="str">
            <v xml:space="preserve">   5.</v>
          </cell>
        </row>
        <row r="25">
          <cell r="A25" t="str">
            <v xml:space="preserve">   6.</v>
          </cell>
          <cell r="I25" t="str">
            <v xml:space="preserve">   6.</v>
          </cell>
          <cell r="Q25" t="str">
            <v xml:space="preserve">   6.</v>
          </cell>
          <cell r="Y25" t="str">
            <v xml:space="preserve">   6.</v>
          </cell>
        </row>
        <row r="26">
          <cell r="A26" t="str">
            <v xml:space="preserve">   7.  Home and Community Based Services (HCBS) Total</v>
          </cell>
          <cell r="B26">
            <v>193.31</v>
          </cell>
          <cell r="C26">
            <v>193.31</v>
          </cell>
          <cell r="D26">
            <v>50.61</v>
          </cell>
          <cell r="E26">
            <v>50.61</v>
          </cell>
          <cell r="F26">
            <v>243.92000000000002</v>
          </cell>
          <cell r="G26">
            <v>243.92000000000002</v>
          </cell>
          <cell r="I26" t="str">
            <v xml:space="preserve">   7.  Home and Community Based Services (HCBS) Total</v>
          </cell>
          <cell r="J26">
            <v>0</v>
          </cell>
          <cell r="K26">
            <v>193.31</v>
          </cell>
          <cell r="L26">
            <v>0</v>
          </cell>
          <cell r="M26">
            <v>50.61</v>
          </cell>
          <cell r="N26">
            <v>0</v>
          </cell>
          <cell r="O26">
            <v>243.92000000000002</v>
          </cell>
          <cell r="Q26" t="str">
            <v xml:space="preserve">   7.  Home and Community Based Services (HCBS) Total</v>
          </cell>
          <cell r="R26">
            <v>0</v>
          </cell>
          <cell r="S26">
            <v>193.31</v>
          </cell>
          <cell r="T26">
            <v>0</v>
          </cell>
          <cell r="U26">
            <v>50.61</v>
          </cell>
          <cell r="V26">
            <v>0</v>
          </cell>
          <cell r="W26">
            <v>243.92000000000002</v>
          </cell>
          <cell r="Y26" t="str">
            <v xml:space="preserve">   7.  Home and Community Based Services (HCBS) Total</v>
          </cell>
          <cell r="Z26">
            <v>0</v>
          </cell>
          <cell r="AA26">
            <v>193.31</v>
          </cell>
          <cell r="AB26">
            <v>0</v>
          </cell>
          <cell r="AC26">
            <v>50.61</v>
          </cell>
          <cell r="AD26">
            <v>0</v>
          </cell>
          <cell r="AE26">
            <v>243.92000000000002</v>
          </cell>
        </row>
        <row r="27">
          <cell r="A27" t="str">
            <v xml:space="preserve">       a.  Adult Foster Care</v>
          </cell>
          <cell r="B27">
            <v>0</v>
          </cell>
          <cell r="C27">
            <v>0</v>
          </cell>
          <cell r="D27">
            <v>0</v>
          </cell>
          <cell r="E27">
            <v>0</v>
          </cell>
          <cell r="F27">
            <v>0</v>
          </cell>
          <cell r="G27">
            <v>0</v>
          </cell>
          <cell r="I27" t="str">
            <v xml:space="preserve">       a.  Adult Foster Care</v>
          </cell>
          <cell r="J27">
            <v>0</v>
          </cell>
          <cell r="K27">
            <v>0</v>
          </cell>
          <cell r="L27">
            <v>0</v>
          </cell>
          <cell r="M27">
            <v>0</v>
          </cell>
          <cell r="N27">
            <v>0</v>
          </cell>
          <cell r="O27">
            <v>0</v>
          </cell>
          <cell r="Q27" t="str">
            <v xml:space="preserve">       a.  Adult Foster Care</v>
          </cell>
          <cell r="R27">
            <v>0</v>
          </cell>
          <cell r="S27">
            <v>0</v>
          </cell>
          <cell r="T27">
            <v>0</v>
          </cell>
          <cell r="U27">
            <v>0</v>
          </cell>
          <cell r="V27">
            <v>0</v>
          </cell>
          <cell r="W27">
            <v>0</v>
          </cell>
          <cell r="Y27" t="str">
            <v xml:space="preserve">       a.  Adult Foster Care</v>
          </cell>
          <cell r="Z27">
            <v>0</v>
          </cell>
          <cell r="AA27">
            <v>0</v>
          </cell>
          <cell r="AB27">
            <v>0</v>
          </cell>
          <cell r="AC27">
            <v>0</v>
          </cell>
          <cell r="AD27">
            <v>0</v>
          </cell>
          <cell r="AE27">
            <v>0</v>
          </cell>
        </row>
        <row r="28">
          <cell r="A28" t="str">
            <v xml:space="preserve">       b.  Assisted Living Home (Adult Care Home)</v>
          </cell>
          <cell r="B28">
            <v>44.36</v>
          </cell>
          <cell r="C28">
            <v>44.36</v>
          </cell>
          <cell r="D28">
            <v>1.66</v>
          </cell>
          <cell r="E28">
            <v>1.66</v>
          </cell>
          <cell r="F28">
            <v>46.02</v>
          </cell>
          <cell r="G28">
            <v>46.02</v>
          </cell>
          <cell r="I28" t="str">
            <v xml:space="preserve">       b.  Assisted Living Home (Adult Care Home)</v>
          </cell>
          <cell r="J28">
            <v>0</v>
          </cell>
          <cell r="K28">
            <v>44.36</v>
          </cell>
          <cell r="L28">
            <v>0</v>
          </cell>
          <cell r="M28">
            <v>1.66</v>
          </cell>
          <cell r="N28">
            <v>0</v>
          </cell>
          <cell r="O28">
            <v>46.02</v>
          </cell>
          <cell r="Q28" t="str">
            <v xml:space="preserve">       b.  Assisted Living Home (Adult Care Home)</v>
          </cell>
          <cell r="R28">
            <v>0</v>
          </cell>
          <cell r="S28">
            <v>44.36</v>
          </cell>
          <cell r="T28">
            <v>0</v>
          </cell>
          <cell r="U28">
            <v>1.66</v>
          </cell>
          <cell r="V28">
            <v>0</v>
          </cell>
          <cell r="W28">
            <v>46.02</v>
          </cell>
          <cell r="Y28" t="str">
            <v xml:space="preserve">       b.  Assisted Living Home (Adult Care Home)</v>
          </cell>
          <cell r="Z28">
            <v>0</v>
          </cell>
          <cell r="AA28">
            <v>44.36</v>
          </cell>
          <cell r="AB28">
            <v>0</v>
          </cell>
          <cell r="AC28">
            <v>1.66</v>
          </cell>
          <cell r="AD28">
            <v>0</v>
          </cell>
          <cell r="AE28">
            <v>46.02</v>
          </cell>
        </row>
        <row r="29">
          <cell r="A29" t="str">
            <v xml:space="preserve">       c.  Group Home (DD)</v>
          </cell>
          <cell r="B29">
            <v>0</v>
          </cell>
          <cell r="C29">
            <v>0</v>
          </cell>
          <cell r="D29">
            <v>0</v>
          </cell>
          <cell r="E29">
            <v>0</v>
          </cell>
          <cell r="F29">
            <v>0</v>
          </cell>
          <cell r="G29">
            <v>0</v>
          </cell>
          <cell r="I29" t="str">
            <v xml:space="preserve">       c.  Group Home (DD)</v>
          </cell>
          <cell r="J29">
            <v>0</v>
          </cell>
          <cell r="K29">
            <v>0</v>
          </cell>
          <cell r="L29">
            <v>0</v>
          </cell>
          <cell r="M29">
            <v>0</v>
          </cell>
          <cell r="N29">
            <v>0</v>
          </cell>
          <cell r="O29">
            <v>0</v>
          </cell>
          <cell r="Q29" t="str">
            <v xml:space="preserve">       c.  Group Home (DD)</v>
          </cell>
          <cell r="R29">
            <v>0</v>
          </cell>
          <cell r="S29">
            <v>0</v>
          </cell>
          <cell r="T29">
            <v>0</v>
          </cell>
          <cell r="U29">
            <v>0</v>
          </cell>
          <cell r="V29">
            <v>0</v>
          </cell>
          <cell r="W29">
            <v>0</v>
          </cell>
          <cell r="Y29" t="str">
            <v xml:space="preserve">       c.  Group Home (DD)</v>
          </cell>
          <cell r="Z29">
            <v>0</v>
          </cell>
          <cell r="AA29">
            <v>0</v>
          </cell>
          <cell r="AB29">
            <v>0</v>
          </cell>
          <cell r="AC29">
            <v>0</v>
          </cell>
          <cell r="AD29">
            <v>0</v>
          </cell>
          <cell r="AE29">
            <v>0</v>
          </cell>
        </row>
        <row r="30">
          <cell r="A30" t="str">
            <v xml:space="preserve">       d.  Individual Home</v>
          </cell>
          <cell r="B30">
            <v>79.72999999999999</v>
          </cell>
          <cell r="C30">
            <v>79.72999999999999</v>
          </cell>
          <cell r="D30">
            <v>36.950000000000003</v>
          </cell>
          <cell r="E30">
            <v>36.950000000000003</v>
          </cell>
          <cell r="F30">
            <v>116.68</v>
          </cell>
          <cell r="G30">
            <v>116.68</v>
          </cell>
          <cell r="I30" t="str">
            <v xml:space="preserve">       d.  Individual Home</v>
          </cell>
          <cell r="J30">
            <v>0</v>
          </cell>
          <cell r="K30">
            <v>79.72999999999999</v>
          </cell>
          <cell r="L30">
            <v>0</v>
          </cell>
          <cell r="M30">
            <v>36.950000000000003</v>
          </cell>
          <cell r="N30">
            <v>0</v>
          </cell>
          <cell r="O30">
            <v>116.68</v>
          </cell>
          <cell r="Q30" t="str">
            <v xml:space="preserve">       d.  Individual Home</v>
          </cell>
          <cell r="R30">
            <v>0</v>
          </cell>
          <cell r="S30">
            <v>79.72999999999999</v>
          </cell>
          <cell r="T30">
            <v>0</v>
          </cell>
          <cell r="U30">
            <v>36.950000000000003</v>
          </cell>
          <cell r="V30">
            <v>0</v>
          </cell>
          <cell r="W30">
            <v>116.68</v>
          </cell>
          <cell r="Y30" t="str">
            <v xml:space="preserve">       d.  Individual Home</v>
          </cell>
          <cell r="Z30">
            <v>0</v>
          </cell>
          <cell r="AA30">
            <v>79.72999999999999</v>
          </cell>
          <cell r="AB30">
            <v>0</v>
          </cell>
          <cell r="AC30">
            <v>36.950000000000003</v>
          </cell>
          <cell r="AD30">
            <v>0</v>
          </cell>
          <cell r="AE30">
            <v>116.68</v>
          </cell>
        </row>
        <row r="31">
          <cell r="A31" t="str">
            <v xml:space="preserve">       e.  Assisted Living Centers (SRL)</v>
          </cell>
          <cell r="B31">
            <v>3.3200000000000003</v>
          </cell>
          <cell r="C31">
            <v>3.3200000000000003</v>
          </cell>
          <cell r="D31">
            <v>3</v>
          </cell>
          <cell r="E31">
            <v>3</v>
          </cell>
          <cell r="F31">
            <v>6.32</v>
          </cell>
          <cell r="G31">
            <v>6.32</v>
          </cell>
          <cell r="I31" t="str">
            <v xml:space="preserve">       e.  Assisted Living Centers (SRL)</v>
          </cell>
          <cell r="J31">
            <v>0</v>
          </cell>
          <cell r="K31">
            <v>3.3200000000000003</v>
          </cell>
          <cell r="L31">
            <v>0</v>
          </cell>
          <cell r="M31">
            <v>3</v>
          </cell>
          <cell r="N31">
            <v>0</v>
          </cell>
          <cell r="O31">
            <v>6.32</v>
          </cell>
          <cell r="Q31" t="str">
            <v xml:space="preserve">       e.  Assisted Living Centers (SRL)</v>
          </cell>
          <cell r="R31">
            <v>0</v>
          </cell>
          <cell r="S31">
            <v>3.3200000000000003</v>
          </cell>
          <cell r="T31">
            <v>0</v>
          </cell>
          <cell r="U31">
            <v>3</v>
          </cell>
          <cell r="V31">
            <v>0</v>
          </cell>
          <cell r="W31">
            <v>6.32</v>
          </cell>
          <cell r="Y31" t="str">
            <v xml:space="preserve">       e.  Assisted Living Centers (SRL)</v>
          </cell>
          <cell r="Z31">
            <v>0</v>
          </cell>
          <cell r="AA31">
            <v>3.3200000000000003</v>
          </cell>
          <cell r="AB31">
            <v>0</v>
          </cell>
          <cell r="AC31">
            <v>3</v>
          </cell>
          <cell r="AD31">
            <v>0</v>
          </cell>
          <cell r="AE31">
            <v>6.32</v>
          </cell>
        </row>
        <row r="32">
          <cell r="A32" t="str">
            <v xml:space="preserve">       f.  Other (Hospice)</v>
          </cell>
          <cell r="B32">
            <v>17.420000000000002</v>
          </cell>
          <cell r="C32">
            <v>17.420000000000002</v>
          </cell>
          <cell r="D32">
            <v>0</v>
          </cell>
          <cell r="E32">
            <v>0</v>
          </cell>
          <cell r="F32">
            <v>17.420000000000002</v>
          </cell>
          <cell r="G32">
            <v>17.420000000000002</v>
          </cell>
          <cell r="I32" t="str">
            <v xml:space="preserve">       f.  Other (Hospice)</v>
          </cell>
          <cell r="J32">
            <v>0</v>
          </cell>
          <cell r="K32">
            <v>17.420000000000002</v>
          </cell>
          <cell r="L32">
            <v>0</v>
          </cell>
          <cell r="M32">
            <v>0</v>
          </cell>
          <cell r="N32">
            <v>0</v>
          </cell>
          <cell r="O32">
            <v>17.420000000000002</v>
          </cell>
          <cell r="Q32" t="str">
            <v xml:space="preserve">       f.  Other (Hospice)</v>
          </cell>
          <cell r="R32">
            <v>0</v>
          </cell>
          <cell r="S32">
            <v>17.420000000000002</v>
          </cell>
          <cell r="T32">
            <v>0</v>
          </cell>
          <cell r="U32">
            <v>0</v>
          </cell>
          <cell r="V32">
            <v>0</v>
          </cell>
          <cell r="W32">
            <v>17.420000000000002</v>
          </cell>
          <cell r="Y32" t="str">
            <v xml:space="preserve">       f.  Other (Hospice)</v>
          </cell>
          <cell r="Z32">
            <v>0</v>
          </cell>
          <cell r="AA32">
            <v>17.420000000000002</v>
          </cell>
          <cell r="AB32">
            <v>0</v>
          </cell>
          <cell r="AC32">
            <v>0</v>
          </cell>
          <cell r="AD32">
            <v>0</v>
          </cell>
          <cell r="AE32">
            <v>17.420000000000002</v>
          </cell>
        </row>
        <row r="33">
          <cell r="A33" t="str">
            <v xml:space="preserve">       g.  Attendant Care</v>
          </cell>
          <cell r="B33">
            <v>48.48</v>
          </cell>
          <cell r="C33">
            <v>48.48</v>
          </cell>
          <cell r="D33">
            <v>9</v>
          </cell>
          <cell r="E33">
            <v>9</v>
          </cell>
          <cell r="F33">
            <v>57.48</v>
          </cell>
          <cell r="G33">
            <v>57.48</v>
          </cell>
          <cell r="I33" t="str">
            <v xml:space="preserve">       g.  Attendant Care</v>
          </cell>
          <cell r="J33">
            <v>0</v>
          </cell>
          <cell r="K33">
            <v>48.48</v>
          </cell>
          <cell r="L33">
            <v>0</v>
          </cell>
          <cell r="M33">
            <v>9</v>
          </cell>
          <cell r="N33">
            <v>0</v>
          </cell>
          <cell r="O33">
            <v>57.48</v>
          </cell>
          <cell r="Q33" t="str">
            <v xml:space="preserve">       g.  Attendant Care</v>
          </cell>
          <cell r="R33">
            <v>0</v>
          </cell>
          <cell r="S33">
            <v>48.48</v>
          </cell>
          <cell r="T33">
            <v>0</v>
          </cell>
          <cell r="U33">
            <v>9</v>
          </cell>
          <cell r="V33">
            <v>0</v>
          </cell>
          <cell r="W33">
            <v>57.48</v>
          </cell>
          <cell r="Y33" t="str">
            <v xml:space="preserve">       g.  Attendant Care</v>
          </cell>
          <cell r="Z33">
            <v>0</v>
          </cell>
          <cell r="AA33">
            <v>48.48</v>
          </cell>
          <cell r="AB33">
            <v>0</v>
          </cell>
          <cell r="AC33">
            <v>9</v>
          </cell>
          <cell r="AD33">
            <v>0</v>
          </cell>
          <cell r="AE33">
            <v>57.48</v>
          </cell>
        </row>
        <row r="34">
          <cell r="A34" t="str">
            <v xml:space="preserve">   8.  Acute Care</v>
          </cell>
          <cell r="B34">
            <v>3.2</v>
          </cell>
          <cell r="C34">
            <v>3.2</v>
          </cell>
          <cell r="D34">
            <v>0</v>
          </cell>
          <cell r="E34">
            <v>0</v>
          </cell>
          <cell r="F34">
            <v>3.2</v>
          </cell>
          <cell r="G34">
            <v>3.2</v>
          </cell>
          <cell r="I34" t="str">
            <v xml:space="preserve">   8.  Acute Care</v>
          </cell>
          <cell r="J34">
            <v>0</v>
          </cell>
          <cell r="K34">
            <v>3.2</v>
          </cell>
          <cell r="L34">
            <v>0</v>
          </cell>
          <cell r="M34">
            <v>0</v>
          </cell>
          <cell r="N34">
            <v>0</v>
          </cell>
          <cell r="O34">
            <v>3.2</v>
          </cell>
          <cell r="Q34" t="str">
            <v xml:space="preserve">   8.  Acute Care</v>
          </cell>
          <cell r="R34">
            <v>0</v>
          </cell>
          <cell r="S34">
            <v>3.2</v>
          </cell>
          <cell r="T34">
            <v>0</v>
          </cell>
          <cell r="U34">
            <v>0</v>
          </cell>
          <cell r="V34">
            <v>0</v>
          </cell>
          <cell r="W34">
            <v>3.2</v>
          </cell>
          <cell r="Y34" t="str">
            <v xml:space="preserve">   8.  Acute Care</v>
          </cell>
          <cell r="Z34">
            <v>0</v>
          </cell>
          <cell r="AA34">
            <v>3.2</v>
          </cell>
          <cell r="AB34">
            <v>0</v>
          </cell>
          <cell r="AC34">
            <v>0</v>
          </cell>
          <cell r="AD34">
            <v>0</v>
          </cell>
          <cell r="AE34">
            <v>3.2</v>
          </cell>
        </row>
        <row r="35">
          <cell r="A35" t="str">
            <v xml:space="preserve">   9.  Ventilator</v>
          </cell>
          <cell r="B35">
            <v>0</v>
          </cell>
          <cell r="C35">
            <v>0</v>
          </cell>
          <cell r="D35">
            <v>0</v>
          </cell>
          <cell r="E35">
            <v>0</v>
          </cell>
          <cell r="F35">
            <v>0</v>
          </cell>
          <cell r="G35">
            <v>0</v>
          </cell>
          <cell r="I35" t="str">
            <v xml:space="preserve">   9.  Ventilator</v>
          </cell>
          <cell r="J35">
            <v>0</v>
          </cell>
          <cell r="K35">
            <v>0</v>
          </cell>
          <cell r="L35">
            <v>0</v>
          </cell>
          <cell r="M35">
            <v>0</v>
          </cell>
          <cell r="N35">
            <v>0</v>
          </cell>
          <cell r="O35">
            <v>0</v>
          </cell>
          <cell r="Q35" t="str">
            <v xml:space="preserve">   9.  Ventilator</v>
          </cell>
          <cell r="R35">
            <v>0</v>
          </cell>
          <cell r="S35">
            <v>0</v>
          </cell>
          <cell r="T35">
            <v>0</v>
          </cell>
          <cell r="U35">
            <v>0</v>
          </cell>
          <cell r="V35">
            <v>0</v>
          </cell>
          <cell r="W35">
            <v>0</v>
          </cell>
          <cell r="Y35" t="str">
            <v xml:space="preserve">   9.  Ventilator</v>
          </cell>
          <cell r="Z35">
            <v>0</v>
          </cell>
          <cell r="AA35">
            <v>0</v>
          </cell>
          <cell r="AB35">
            <v>0</v>
          </cell>
          <cell r="AC35">
            <v>0</v>
          </cell>
          <cell r="AD35">
            <v>0</v>
          </cell>
          <cell r="AE35">
            <v>0</v>
          </cell>
        </row>
        <row r="36">
          <cell r="A36" t="str">
            <v xml:space="preserve">  10.  Prior Period</v>
          </cell>
          <cell r="B36">
            <v>1.9666999999999999</v>
          </cell>
          <cell r="C36">
            <v>1.9666999999999999</v>
          </cell>
          <cell r="D36">
            <v>0</v>
          </cell>
          <cell r="E36">
            <v>0</v>
          </cell>
          <cell r="F36">
            <v>1.9666999999999999</v>
          </cell>
          <cell r="G36">
            <v>1.9666999999999999</v>
          </cell>
          <cell r="I36" t="str">
            <v xml:space="preserve">  10.  Prior Period</v>
          </cell>
          <cell r="J36">
            <v>0</v>
          </cell>
          <cell r="K36">
            <v>1.9666999999999999</v>
          </cell>
          <cell r="L36">
            <v>0</v>
          </cell>
          <cell r="M36">
            <v>0</v>
          </cell>
          <cell r="N36">
            <v>0</v>
          </cell>
          <cell r="O36">
            <v>1.9666999999999999</v>
          </cell>
          <cell r="Q36" t="str">
            <v xml:space="preserve">  10.  Prior Period</v>
          </cell>
          <cell r="R36">
            <v>0</v>
          </cell>
          <cell r="S36">
            <v>1.9666999999999999</v>
          </cell>
          <cell r="T36">
            <v>0</v>
          </cell>
          <cell r="U36">
            <v>0</v>
          </cell>
          <cell r="V36">
            <v>0</v>
          </cell>
          <cell r="W36">
            <v>1.9666999999999999</v>
          </cell>
          <cell r="Y36" t="str">
            <v xml:space="preserve">  10.  Prior Period</v>
          </cell>
          <cell r="Z36">
            <v>0</v>
          </cell>
          <cell r="AA36">
            <v>1.9666999999999999</v>
          </cell>
          <cell r="AB36">
            <v>0</v>
          </cell>
          <cell r="AC36">
            <v>0</v>
          </cell>
          <cell r="AD36">
            <v>0</v>
          </cell>
          <cell r="AE36">
            <v>1.9666999999999999</v>
          </cell>
        </row>
        <row r="37">
          <cell r="A37" t="str">
            <v xml:space="preserve">  11.  Other - Not Placed</v>
          </cell>
          <cell r="B37">
            <v>-23.29</v>
          </cell>
          <cell r="C37">
            <v>-23.29</v>
          </cell>
          <cell r="D37">
            <v>-7</v>
          </cell>
          <cell r="E37">
            <v>-7</v>
          </cell>
          <cell r="F37">
            <v>-30.29</v>
          </cell>
          <cell r="G37">
            <v>-30.29</v>
          </cell>
          <cell r="I37" t="str">
            <v xml:space="preserve">  11.  Other - Not Placed</v>
          </cell>
          <cell r="J37">
            <v>0</v>
          </cell>
          <cell r="K37">
            <v>-23.29</v>
          </cell>
          <cell r="L37">
            <v>0</v>
          </cell>
          <cell r="M37">
            <v>-7</v>
          </cell>
          <cell r="N37">
            <v>0</v>
          </cell>
          <cell r="O37">
            <v>-30.29</v>
          </cell>
          <cell r="Q37" t="str">
            <v xml:space="preserve">  11.  Other - Not Placed</v>
          </cell>
          <cell r="R37">
            <v>0</v>
          </cell>
          <cell r="S37">
            <v>-23.29</v>
          </cell>
          <cell r="T37">
            <v>0</v>
          </cell>
          <cell r="U37">
            <v>-7</v>
          </cell>
          <cell r="V37">
            <v>0</v>
          </cell>
          <cell r="W37">
            <v>-30.29</v>
          </cell>
          <cell r="Y37" t="str">
            <v xml:space="preserve">  11.  Other - Not Placed</v>
          </cell>
          <cell r="Z37">
            <v>0</v>
          </cell>
          <cell r="AA37">
            <v>-23.29</v>
          </cell>
          <cell r="AB37">
            <v>0</v>
          </cell>
          <cell r="AC37">
            <v>-7</v>
          </cell>
          <cell r="AD37">
            <v>0</v>
          </cell>
          <cell r="AE37">
            <v>-30.29</v>
          </cell>
        </row>
        <row r="39">
          <cell r="A39" t="str">
            <v>C.   Acute Patient Day Information</v>
          </cell>
          <cell r="I39" t="str">
            <v>C.   Acute Patient Day Information</v>
          </cell>
          <cell r="Q39" t="str">
            <v>C.   Acute Patient Day Information</v>
          </cell>
          <cell r="Y39" t="str">
            <v>C.   Acute Patient Day Information</v>
          </cell>
        </row>
        <row r="40">
          <cell r="A40" t="str">
            <v xml:space="preserve">       a.  Admissions</v>
          </cell>
          <cell r="B40">
            <v>16</v>
          </cell>
          <cell r="C40">
            <v>16</v>
          </cell>
          <cell r="D40">
            <v>2</v>
          </cell>
          <cell r="E40">
            <v>2</v>
          </cell>
          <cell r="F40">
            <v>18</v>
          </cell>
          <cell r="G40">
            <v>18</v>
          </cell>
          <cell r="I40" t="str">
            <v xml:space="preserve">       a.  Admissions</v>
          </cell>
          <cell r="J40">
            <v>0</v>
          </cell>
          <cell r="K40">
            <v>16</v>
          </cell>
          <cell r="L40">
            <v>0</v>
          </cell>
          <cell r="M40">
            <v>2</v>
          </cell>
          <cell r="N40">
            <v>0</v>
          </cell>
          <cell r="O40">
            <v>18</v>
          </cell>
          <cell r="Q40" t="str">
            <v xml:space="preserve">       a.  Admissions</v>
          </cell>
          <cell r="R40">
            <v>0</v>
          </cell>
          <cell r="S40">
            <v>16</v>
          </cell>
          <cell r="T40">
            <v>0</v>
          </cell>
          <cell r="U40">
            <v>2</v>
          </cell>
          <cell r="V40">
            <v>0</v>
          </cell>
          <cell r="W40">
            <v>18</v>
          </cell>
          <cell r="Y40" t="str">
            <v xml:space="preserve">       a.  Admissions</v>
          </cell>
          <cell r="Z40">
            <v>0</v>
          </cell>
          <cell r="AA40">
            <v>16</v>
          </cell>
          <cell r="AB40">
            <v>0</v>
          </cell>
          <cell r="AC40">
            <v>2</v>
          </cell>
          <cell r="AD40">
            <v>0</v>
          </cell>
          <cell r="AE40">
            <v>18</v>
          </cell>
        </row>
        <row r="41">
          <cell r="A41" t="str">
            <v xml:space="preserve">       b.  Patient Days</v>
          </cell>
          <cell r="B41">
            <v>76</v>
          </cell>
          <cell r="C41">
            <v>76</v>
          </cell>
          <cell r="D41">
            <v>11</v>
          </cell>
          <cell r="E41">
            <v>11</v>
          </cell>
          <cell r="F41">
            <v>87</v>
          </cell>
          <cell r="G41">
            <v>87</v>
          </cell>
          <cell r="I41" t="str">
            <v xml:space="preserve">       b.  Patient Days</v>
          </cell>
          <cell r="J41">
            <v>0</v>
          </cell>
          <cell r="K41">
            <v>76</v>
          </cell>
          <cell r="L41">
            <v>0</v>
          </cell>
          <cell r="M41">
            <v>11</v>
          </cell>
          <cell r="N41">
            <v>0</v>
          </cell>
          <cell r="O41">
            <v>87</v>
          </cell>
          <cell r="Q41" t="str">
            <v xml:space="preserve">       b.  Patient Days</v>
          </cell>
          <cell r="R41">
            <v>0</v>
          </cell>
          <cell r="S41">
            <v>76</v>
          </cell>
          <cell r="T41">
            <v>0</v>
          </cell>
          <cell r="U41">
            <v>11</v>
          </cell>
          <cell r="V41">
            <v>0</v>
          </cell>
          <cell r="W41">
            <v>87</v>
          </cell>
          <cell r="Y41" t="str">
            <v xml:space="preserve">       b.  Patient Days</v>
          </cell>
          <cell r="Z41">
            <v>0</v>
          </cell>
          <cell r="AA41">
            <v>76</v>
          </cell>
          <cell r="AB41">
            <v>0</v>
          </cell>
          <cell r="AC41">
            <v>11</v>
          </cell>
          <cell r="AD41">
            <v>0</v>
          </cell>
          <cell r="AE41">
            <v>87</v>
          </cell>
        </row>
        <row r="42">
          <cell r="A42" t="str">
            <v xml:space="preserve">       c.  Discharges</v>
          </cell>
          <cell r="B42">
            <v>18</v>
          </cell>
          <cell r="C42">
            <v>18</v>
          </cell>
          <cell r="D42">
            <v>2</v>
          </cell>
          <cell r="E42">
            <v>2</v>
          </cell>
          <cell r="F42">
            <v>20</v>
          </cell>
          <cell r="G42">
            <v>20</v>
          </cell>
          <cell r="I42" t="str">
            <v xml:space="preserve">       c.  Discharges</v>
          </cell>
          <cell r="J42">
            <v>0</v>
          </cell>
          <cell r="K42">
            <v>18</v>
          </cell>
          <cell r="L42">
            <v>0</v>
          </cell>
          <cell r="M42">
            <v>2</v>
          </cell>
          <cell r="N42">
            <v>0</v>
          </cell>
          <cell r="O42">
            <v>20</v>
          </cell>
          <cell r="Q42" t="str">
            <v xml:space="preserve">       c.  Discharges</v>
          </cell>
          <cell r="R42">
            <v>0</v>
          </cell>
          <cell r="S42">
            <v>18</v>
          </cell>
          <cell r="T42">
            <v>0</v>
          </cell>
          <cell r="U42">
            <v>2</v>
          </cell>
          <cell r="V42">
            <v>0</v>
          </cell>
          <cell r="W42">
            <v>20</v>
          </cell>
          <cell r="Y42" t="str">
            <v xml:space="preserve">       c.  Discharges</v>
          </cell>
          <cell r="Z42">
            <v>0</v>
          </cell>
          <cell r="AA42">
            <v>18</v>
          </cell>
          <cell r="AB42">
            <v>0</v>
          </cell>
          <cell r="AC42">
            <v>2</v>
          </cell>
          <cell r="AD42">
            <v>0</v>
          </cell>
          <cell r="AE42">
            <v>20</v>
          </cell>
        </row>
        <row r="43">
          <cell r="A43" t="str">
            <v xml:space="preserve">       d.  Discharge Days</v>
          </cell>
          <cell r="B43">
            <v>76</v>
          </cell>
          <cell r="C43">
            <v>76</v>
          </cell>
          <cell r="D43">
            <v>11</v>
          </cell>
          <cell r="E43">
            <v>11</v>
          </cell>
          <cell r="F43">
            <v>87</v>
          </cell>
          <cell r="G43">
            <v>87</v>
          </cell>
          <cell r="I43" t="str">
            <v xml:space="preserve">       d.  Discharge Days</v>
          </cell>
          <cell r="J43">
            <v>0</v>
          </cell>
          <cell r="K43">
            <v>76</v>
          </cell>
          <cell r="L43">
            <v>0</v>
          </cell>
          <cell r="M43">
            <v>11</v>
          </cell>
          <cell r="N43">
            <v>0</v>
          </cell>
          <cell r="O43">
            <v>87</v>
          </cell>
          <cell r="Q43" t="str">
            <v xml:space="preserve">       d.  Discharge Days</v>
          </cell>
          <cell r="R43">
            <v>0</v>
          </cell>
          <cell r="S43">
            <v>76</v>
          </cell>
          <cell r="T43">
            <v>0</v>
          </cell>
          <cell r="U43">
            <v>11</v>
          </cell>
          <cell r="V43">
            <v>0</v>
          </cell>
          <cell r="W43">
            <v>87</v>
          </cell>
          <cell r="Y43" t="str">
            <v xml:space="preserve">       d.  Discharge Days</v>
          </cell>
          <cell r="Z43">
            <v>0</v>
          </cell>
          <cell r="AA43">
            <v>76</v>
          </cell>
          <cell r="AB43">
            <v>0</v>
          </cell>
          <cell r="AC43">
            <v>11</v>
          </cell>
          <cell r="AD43">
            <v>0</v>
          </cell>
          <cell r="AE43">
            <v>87</v>
          </cell>
        </row>
        <row r="44">
          <cell r="A44" t="str">
            <v xml:space="preserve">       e.  Average Length of Stay</v>
          </cell>
          <cell r="B44">
            <v>4.2222222222222223</v>
          </cell>
          <cell r="C44">
            <v>4.2222222222222223</v>
          </cell>
          <cell r="D44">
            <v>5.5</v>
          </cell>
          <cell r="E44">
            <v>5.5</v>
          </cell>
          <cell r="F44">
            <v>4.3499999999999996</v>
          </cell>
          <cell r="G44">
            <v>4.3499999999999996</v>
          </cell>
          <cell r="I44" t="str">
            <v xml:space="preserve">       e.  Average Length of Stay</v>
          </cell>
          <cell r="J44">
            <v>0</v>
          </cell>
          <cell r="K44">
            <v>4.2222222222222223</v>
          </cell>
          <cell r="L44">
            <v>0</v>
          </cell>
          <cell r="M44">
            <v>5.5</v>
          </cell>
          <cell r="N44">
            <v>0</v>
          </cell>
          <cell r="O44">
            <v>4.3499999999999996</v>
          </cell>
          <cell r="Q44" t="str">
            <v xml:space="preserve">       e.  Average Length of Stay</v>
          </cell>
          <cell r="R44">
            <v>0</v>
          </cell>
          <cell r="S44">
            <v>4.2222222222222223</v>
          </cell>
          <cell r="T44">
            <v>0</v>
          </cell>
          <cell r="U44">
            <v>5.5</v>
          </cell>
          <cell r="V44">
            <v>0</v>
          </cell>
          <cell r="W44">
            <v>4.3499999999999996</v>
          </cell>
          <cell r="Y44" t="str">
            <v xml:space="preserve">       e.  Average Length of Stay</v>
          </cell>
          <cell r="Z44">
            <v>0</v>
          </cell>
          <cell r="AA44">
            <v>4.2222222222222223</v>
          </cell>
          <cell r="AB44">
            <v>0</v>
          </cell>
          <cell r="AC44">
            <v>5.5</v>
          </cell>
          <cell r="AD44">
            <v>0</v>
          </cell>
          <cell r="AE44">
            <v>4.3499999999999996</v>
          </cell>
        </row>
        <row r="46">
          <cell r="A46" t="str">
            <v>D.   Emergency Room Visits</v>
          </cell>
          <cell r="B46">
            <v>8</v>
          </cell>
          <cell r="C46">
            <v>8</v>
          </cell>
          <cell r="D46">
            <v>3</v>
          </cell>
          <cell r="E46">
            <v>3</v>
          </cell>
          <cell r="F46">
            <v>11</v>
          </cell>
          <cell r="G46">
            <v>11</v>
          </cell>
          <cell r="I46" t="str">
            <v>D.   Emergency Room Visits</v>
          </cell>
          <cell r="J46">
            <v>0</v>
          </cell>
          <cell r="K46">
            <v>8</v>
          </cell>
          <cell r="L46">
            <v>0</v>
          </cell>
          <cell r="M46">
            <v>3</v>
          </cell>
          <cell r="N46">
            <v>0</v>
          </cell>
          <cell r="O46">
            <v>11</v>
          </cell>
          <cell r="Q46" t="str">
            <v>D.   Emergency Room Visits</v>
          </cell>
          <cell r="R46">
            <v>0</v>
          </cell>
          <cell r="S46">
            <v>8</v>
          </cell>
          <cell r="T46">
            <v>0</v>
          </cell>
          <cell r="U46">
            <v>3</v>
          </cell>
          <cell r="V46">
            <v>0</v>
          </cell>
          <cell r="W46">
            <v>11</v>
          </cell>
          <cell r="Y46" t="str">
            <v>D.   Emergency Room Visits</v>
          </cell>
          <cell r="Z46">
            <v>0</v>
          </cell>
          <cell r="AA46">
            <v>8</v>
          </cell>
          <cell r="AB46">
            <v>0</v>
          </cell>
          <cell r="AC46">
            <v>3</v>
          </cell>
          <cell r="AD46">
            <v>0</v>
          </cell>
          <cell r="AE46">
            <v>11</v>
          </cell>
        </row>
        <row r="50">
          <cell r="A50" t="str">
            <v>Program Contractor Financial Reporting Systems - Report #11C Utilization Data Report Consolidated by County</v>
          </cell>
          <cell r="I50" t="str">
            <v>Program Contractor Financial Reporting Systems - Report #11C Utilization Data Report Consolidated by County</v>
          </cell>
          <cell r="Q50" t="str">
            <v>Program Contractor Financial Reporting Systems - Report #11C Utilization Data Report Consolidated by County</v>
          </cell>
          <cell r="Y50" t="str">
            <v>Program Contractor Financial Reporting Systems - Report #11C Utilization Data Report Consolidated by County</v>
          </cell>
        </row>
        <row r="52">
          <cell r="A52" t="str">
            <v>Statement for Program Contractor 110049 - Evercare of Arizona, Inc.</v>
          </cell>
          <cell r="F52" t="str">
            <v>County:</v>
          </cell>
          <cell r="G52" t="str">
            <v>Coconino</v>
          </cell>
          <cell r="I52" t="str">
            <v>Statement for Program Contractor 110049 - Evercare of Arizona, Inc.</v>
          </cell>
          <cell r="N52" t="str">
            <v>County:</v>
          </cell>
          <cell r="O52" t="str">
            <v>Coconino</v>
          </cell>
          <cell r="Q52" t="str">
            <v>Statement for Program Contractor 110049 - Evercare of Arizona, Inc.</v>
          </cell>
          <cell r="V52" t="str">
            <v>County:</v>
          </cell>
          <cell r="W52" t="str">
            <v>Coconino</v>
          </cell>
          <cell r="Y52" t="str">
            <v>Statement for Program Contractor 110049 - Evercare of Arizona, Inc.</v>
          </cell>
          <cell r="AD52" t="str">
            <v>County:</v>
          </cell>
          <cell r="AE52" t="str">
            <v>Coconino</v>
          </cell>
        </row>
        <row r="54">
          <cell r="A54" t="str">
            <v>For the Quarter ending 12/31/2005 in the Fiscal Year ending 9/30/2006</v>
          </cell>
          <cell r="F54" t="str">
            <v>Page 2 of 8</v>
          </cell>
          <cell r="I54" t="str">
            <v>For the Quarter ending 3/31/2006 in the Fiscal Year ending 9/30/2006</v>
          </cell>
          <cell r="N54" t="str">
            <v>Page 2 of 8</v>
          </cell>
          <cell r="Q54" t="str">
            <v>For the Quarter ending 6/30/2006 in the Fiscal Year ending 9/30/2006</v>
          </cell>
          <cell r="V54" t="str">
            <v>Page 2 of 8</v>
          </cell>
          <cell r="Y54" t="str">
            <v>For the Quarter ending 9/30/2006 in the Fiscal Year ending 9/30/2006</v>
          </cell>
          <cell r="AD54" t="str">
            <v>Page 2 of 8</v>
          </cell>
        </row>
        <row r="57">
          <cell r="A57" t="str">
            <v>Utilization Data Report by County</v>
          </cell>
          <cell r="I57" t="str">
            <v>Utilization Data Report by County</v>
          </cell>
          <cell r="Q57" t="str">
            <v>Utilization Data Report by County</v>
          </cell>
          <cell r="Y57" t="str">
            <v>Utilization Data Report by County</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row>
        <row r="62">
          <cell r="A62" t="str">
            <v>A.   Enrollees (At End of Period)</v>
          </cell>
          <cell r="B62">
            <v>147</v>
          </cell>
          <cell r="D62">
            <v>37</v>
          </cell>
          <cell r="F62">
            <v>184</v>
          </cell>
          <cell r="I62" t="str">
            <v>A.   Enrollees (At End of Period)</v>
          </cell>
          <cell r="J62">
            <v>0</v>
          </cell>
          <cell r="L62">
            <v>0</v>
          </cell>
          <cell r="N62">
            <v>0</v>
          </cell>
          <cell r="Q62" t="str">
            <v>A.   Enrollees (At End of Period)</v>
          </cell>
          <cell r="R62">
            <v>0</v>
          </cell>
          <cell r="T62">
            <v>0</v>
          </cell>
          <cell r="V62">
            <v>0</v>
          </cell>
          <cell r="Y62" t="str">
            <v>A.   Enrollees (At End of Period)</v>
          </cell>
          <cell r="Z62">
            <v>0</v>
          </cell>
          <cell r="AB62">
            <v>0</v>
          </cell>
          <cell r="AD62">
            <v>0</v>
          </cell>
        </row>
        <row r="64">
          <cell r="A64" t="str">
            <v>B.   Member Months (Unduplicated)</v>
          </cell>
          <cell r="B64">
            <v>513.72739999999999</v>
          </cell>
          <cell r="C64">
            <v>513.72739999999999</v>
          </cell>
          <cell r="D64">
            <v>110.61330000000001</v>
          </cell>
          <cell r="E64">
            <v>110.61330000000001</v>
          </cell>
          <cell r="F64">
            <v>624.34069999999997</v>
          </cell>
          <cell r="G64">
            <v>624.34069999999997</v>
          </cell>
          <cell r="I64" t="str">
            <v>B.   Member Months (Unduplicated)</v>
          </cell>
          <cell r="J64">
            <v>0</v>
          </cell>
          <cell r="K64">
            <v>513.72739999999999</v>
          </cell>
          <cell r="L64">
            <v>0</v>
          </cell>
          <cell r="M64">
            <v>110.61330000000001</v>
          </cell>
          <cell r="N64">
            <v>0</v>
          </cell>
          <cell r="O64">
            <v>624.34069999999997</v>
          </cell>
          <cell r="Q64" t="str">
            <v>B.   Member Months (Unduplicated)</v>
          </cell>
          <cell r="R64">
            <v>0</v>
          </cell>
          <cell r="S64">
            <v>513.72739999999999</v>
          </cell>
          <cell r="T64">
            <v>0</v>
          </cell>
          <cell r="U64">
            <v>110.61330000000001</v>
          </cell>
          <cell r="V64">
            <v>0</v>
          </cell>
          <cell r="W64">
            <v>624.34069999999997</v>
          </cell>
          <cell r="Y64" t="str">
            <v>B.   Member Months (Unduplicated)</v>
          </cell>
          <cell r="Z64">
            <v>0</v>
          </cell>
          <cell r="AA64">
            <v>513.72739999999999</v>
          </cell>
          <cell r="AB64">
            <v>0</v>
          </cell>
          <cell r="AC64">
            <v>110.61330000000001</v>
          </cell>
          <cell r="AD64">
            <v>0</v>
          </cell>
          <cell r="AE64">
            <v>624.34069999999997</v>
          </cell>
        </row>
        <row r="65">
          <cell r="A65" t="str">
            <v xml:space="preserve">   Institutional Member Months Total</v>
          </cell>
          <cell r="B65">
            <v>190.48000000000002</v>
          </cell>
          <cell r="C65">
            <v>190.48000000000002</v>
          </cell>
          <cell r="D65">
            <v>12.73</v>
          </cell>
          <cell r="E65">
            <v>12.73</v>
          </cell>
          <cell r="F65">
            <v>203.21</v>
          </cell>
          <cell r="G65">
            <v>203.21</v>
          </cell>
          <cell r="I65" t="str">
            <v xml:space="preserve">   Institutional Member Months Total</v>
          </cell>
          <cell r="J65">
            <v>0</v>
          </cell>
          <cell r="K65">
            <v>190.48000000000002</v>
          </cell>
          <cell r="L65">
            <v>0</v>
          </cell>
          <cell r="M65">
            <v>12.73</v>
          </cell>
          <cell r="N65">
            <v>0</v>
          </cell>
          <cell r="O65">
            <v>203.21</v>
          </cell>
          <cell r="Q65" t="str">
            <v xml:space="preserve">   Institutional Member Months Total</v>
          </cell>
          <cell r="R65">
            <v>0</v>
          </cell>
          <cell r="S65">
            <v>190.48000000000002</v>
          </cell>
          <cell r="T65">
            <v>0</v>
          </cell>
          <cell r="U65">
            <v>12.73</v>
          </cell>
          <cell r="V65">
            <v>0</v>
          </cell>
          <cell r="W65">
            <v>203.21</v>
          </cell>
          <cell r="Y65" t="str">
            <v xml:space="preserve">   Institutional Member Months Total</v>
          </cell>
          <cell r="Z65">
            <v>0</v>
          </cell>
          <cell r="AA65">
            <v>190.48000000000002</v>
          </cell>
          <cell r="AB65">
            <v>0</v>
          </cell>
          <cell r="AC65">
            <v>12.73</v>
          </cell>
          <cell r="AD65">
            <v>0</v>
          </cell>
          <cell r="AE65">
            <v>203.21</v>
          </cell>
        </row>
        <row r="66">
          <cell r="A66" t="str">
            <v xml:space="preserve">   1.  Level I</v>
          </cell>
          <cell r="B66">
            <v>86.49</v>
          </cell>
          <cell r="C66">
            <v>86.49</v>
          </cell>
          <cell r="D66">
            <v>8.23</v>
          </cell>
          <cell r="E66">
            <v>8.23</v>
          </cell>
          <cell r="F66">
            <v>94.72</v>
          </cell>
          <cell r="G66">
            <v>94.72</v>
          </cell>
          <cell r="I66" t="str">
            <v xml:space="preserve">   1.  Level I</v>
          </cell>
          <cell r="J66">
            <v>0</v>
          </cell>
          <cell r="K66">
            <v>86.49</v>
          </cell>
          <cell r="L66">
            <v>0</v>
          </cell>
          <cell r="M66">
            <v>8.23</v>
          </cell>
          <cell r="N66">
            <v>0</v>
          </cell>
          <cell r="O66">
            <v>94.72</v>
          </cell>
          <cell r="Q66" t="str">
            <v xml:space="preserve">   1.  Level I</v>
          </cell>
          <cell r="R66">
            <v>0</v>
          </cell>
          <cell r="S66">
            <v>86.49</v>
          </cell>
          <cell r="T66">
            <v>0</v>
          </cell>
          <cell r="U66">
            <v>8.23</v>
          </cell>
          <cell r="V66">
            <v>0</v>
          </cell>
          <cell r="W66">
            <v>94.72</v>
          </cell>
          <cell r="Y66" t="str">
            <v xml:space="preserve">   1.  Level I</v>
          </cell>
          <cell r="Z66">
            <v>0</v>
          </cell>
          <cell r="AA66">
            <v>86.49</v>
          </cell>
          <cell r="AB66">
            <v>0</v>
          </cell>
          <cell r="AC66">
            <v>8.23</v>
          </cell>
          <cell r="AD66">
            <v>0</v>
          </cell>
          <cell r="AE66">
            <v>94.72</v>
          </cell>
        </row>
        <row r="67">
          <cell r="A67" t="str">
            <v xml:space="preserve">   2.  Level II</v>
          </cell>
          <cell r="B67">
            <v>87.8</v>
          </cell>
          <cell r="C67">
            <v>87.8</v>
          </cell>
          <cell r="D67">
            <v>3</v>
          </cell>
          <cell r="E67">
            <v>3</v>
          </cell>
          <cell r="F67">
            <v>90.8</v>
          </cell>
          <cell r="G67">
            <v>90.8</v>
          </cell>
          <cell r="I67" t="str">
            <v xml:space="preserve">   2.  Level II</v>
          </cell>
          <cell r="J67">
            <v>0</v>
          </cell>
          <cell r="K67">
            <v>87.8</v>
          </cell>
          <cell r="L67">
            <v>0</v>
          </cell>
          <cell r="M67">
            <v>3</v>
          </cell>
          <cell r="N67">
            <v>0</v>
          </cell>
          <cell r="O67">
            <v>90.8</v>
          </cell>
          <cell r="Q67" t="str">
            <v xml:space="preserve">   2.  Level II</v>
          </cell>
          <cell r="R67">
            <v>0</v>
          </cell>
          <cell r="S67">
            <v>87.8</v>
          </cell>
          <cell r="T67">
            <v>0</v>
          </cell>
          <cell r="U67">
            <v>3</v>
          </cell>
          <cell r="V67">
            <v>0</v>
          </cell>
          <cell r="W67">
            <v>90.8</v>
          </cell>
          <cell r="Y67" t="str">
            <v xml:space="preserve">   2.  Level II</v>
          </cell>
          <cell r="Z67">
            <v>0</v>
          </cell>
          <cell r="AA67">
            <v>87.8</v>
          </cell>
          <cell r="AB67">
            <v>0</v>
          </cell>
          <cell r="AC67">
            <v>3</v>
          </cell>
          <cell r="AD67">
            <v>0</v>
          </cell>
          <cell r="AE67">
            <v>90.8</v>
          </cell>
        </row>
        <row r="68">
          <cell r="A68" t="str">
            <v xml:space="preserve">   3.  Level III</v>
          </cell>
          <cell r="B68">
            <v>16.190000000000001</v>
          </cell>
          <cell r="C68">
            <v>16.190000000000001</v>
          </cell>
          <cell r="D68">
            <v>1.5</v>
          </cell>
          <cell r="E68">
            <v>1.5</v>
          </cell>
          <cell r="F68">
            <v>17.690000000000001</v>
          </cell>
          <cell r="G68">
            <v>17.690000000000001</v>
          </cell>
          <cell r="I68" t="str">
            <v xml:space="preserve">   3.  Level III</v>
          </cell>
          <cell r="J68">
            <v>0</v>
          </cell>
          <cell r="K68">
            <v>16.190000000000001</v>
          </cell>
          <cell r="L68">
            <v>0</v>
          </cell>
          <cell r="M68">
            <v>1.5</v>
          </cell>
          <cell r="N68">
            <v>0</v>
          </cell>
          <cell r="O68">
            <v>17.690000000000001</v>
          </cell>
          <cell r="Q68" t="str">
            <v xml:space="preserve">   3.  Level III</v>
          </cell>
          <cell r="R68">
            <v>0</v>
          </cell>
          <cell r="S68">
            <v>16.190000000000001</v>
          </cell>
          <cell r="T68">
            <v>0</v>
          </cell>
          <cell r="U68">
            <v>1.5</v>
          </cell>
          <cell r="V68">
            <v>0</v>
          </cell>
          <cell r="W68">
            <v>17.690000000000001</v>
          </cell>
          <cell r="Y68" t="str">
            <v xml:space="preserve">   3.  Level III</v>
          </cell>
          <cell r="Z68">
            <v>0</v>
          </cell>
          <cell r="AA68">
            <v>16.190000000000001</v>
          </cell>
          <cell r="AB68">
            <v>0</v>
          </cell>
          <cell r="AC68">
            <v>1.5</v>
          </cell>
          <cell r="AD68">
            <v>0</v>
          </cell>
          <cell r="AE68">
            <v>17.690000000000001</v>
          </cell>
        </row>
        <row r="69">
          <cell r="A69" t="str">
            <v xml:space="preserve">   4.  Level IV</v>
          </cell>
          <cell r="B69">
            <v>0</v>
          </cell>
          <cell r="C69">
            <v>0</v>
          </cell>
          <cell r="D69">
            <v>0</v>
          </cell>
          <cell r="E69">
            <v>0</v>
          </cell>
          <cell r="F69">
            <v>0</v>
          </cell>
          <cell r="G69">
            <v>0</v>
          </cell>
          <cell r="I69" t="str">
            <v xml:space="preserve">   4.  Level IV</v>
          </cell>
          <cell r="J69">
            <v>0</v>
          </cell>
          <cell r="K69">
            <v>0</v>
          </cell>
          <cell r="L69">
            <v>0</v>
          </cell>
          <cell r="M69">
            <v>0</v>
          </cell>
          <cell r="N69">
            <v>0</v>
          </cell>
          <cell r="O69">
            <v>0</v>
          </cell>
          <cell r="Q69" t="str">
            <v xml:space="preserve">   4.  Level IV</v>
          </cell>
          <cell r="R69">
            <v>0</v>
          </cell>
          <cell r="S69">
            <v>0</v>
          </cell>
          <cell r="T69">
            <v>0</v>
          </cell>
          <cell r="U69">
            <v>0</v>
          </cell>
          <cell r="V69">
            <v>0</v>
          </cell>
          <cell r="W69">
            <v>0</v>
          </cell>
          <cell r="Y69" t="str">
            <v xml:space="preserve">   4.  Level IV</v>
          </cell>
          <cell r="Z69">
            <v>0</v>
          </cell>
          <cell r="AA69">
            <v>0</v>
          </cell>
          <cell r="AB69">
            <v>0</v>
          </cell>
          <cell r="AC69">
            <v>0</v>
          </cell>
          <cell r="AD69">
            <v>0</v>
          </cell>
          <cell r="AE69">
            <v>0</v>
          </cell>
        </row>
        <row r="70">
          <cell r="A70" t="str">
            <v xml:space="preserve">   5.</v>
          </cell>
          <cell r="I70" t="str">
            <v xml:space="preserve">   5.</v>
          </cell>
          <cell r="Q70" t="str">
            <v xml:space="preserve">   5.</v>
          </cell>
          <cell r="Y70" t="str">
            <v xml:space="preserve">   5.</v>
          </cell>
        </row>
        <row r="71">
          <cell r="A71" t="str">
            <v xml:space="preserve">   6.</v>
          </cell>
          <cell r="I71" t="str">
            <v xml:space="preserve">   6.</v>
          </cell>
          <cell r="Q71" t="str">
            <v xml:space="preserve">   6.</v>
          </cell>
          <cell r="Y71" t="str">
            <v xml:space="preserve">   6.</v>
          </cell>
        </row>
        <row r="72">
          <cell r="A72" t="str">
            <v xml:space="preserve">   7.  Home and Community Based Services (HCBS) Total</v>
          </cell>
          <cell r="B72">
            <v>338.48</v>
          </cell>
          <cell r="C72">
            <v>338.48</v>
          </cell>
          <cell r="D72">
            <v>88.350000000000009</v>
          </cell>
          <cell r="E72">
            <v>88.350000000000009</v>
          </cell>
          <cell r="F72">
            <v>426.83000000000004</v>
          </cell>
          <cell r="G72">
            <v>426.83000000000004</v>
          </cell>
          <cell r="I72" t="str">
            <v xml:space="preserve">   7.  Home and Community Based Services (HCBS) Total</v>
          </cell>
          <cell r="J72">
            <v>0</v>
          </cell>
          <cell r="K72">
            <v>338.48</v>
          </cell>
          <cell r="L72">
            <v>0</v>
          </cell>
          <cell r="M72">
            <v>88.350000000000009</v>
          </cell>
          <cell r="N72">
            <v>0</v>
          </cell>
          <cell r="O72">
            <v>426.83000000000004</v>
          </cell>
          <cell r="Q72" t="str">
            <v xml:space="preserve">   7.  Home and Community Based Services (HCBS) Total</v>
          </cell>
          <cell r="R72">
            <v>0</v>
          </cell>
          <cell r="S72">
            <v>338.48</v>
          </cell>
          <cell r="T72">
            <v>0</v>
          </cell>
          <cell r="U72">
            <v>88.350000000000009</v>
          </cell>
          <cell r="V72">
            <v>0</v>
          </cell>
          <cell r="W72">
            <v>426.83000000000004</v>
          </cell>
          <cell r="Y72" t="str">
            <v xml:space="preserve">   7.  Home and Community Based Services (HCBS) Total</v>
          </cell>
          <cell r="Z72">
            <v>0</v>
          </cell>
          <cell r="AA72">
            <v>338.48</v>
          </cell>
          <cell r="AB72">
            <v>0</v>
          </cell>
          <cell r="AC72">
            <v>88.350000000000009</v>
          </cell>
          <cell r="AD72">
            <v>0</v>
          </cell>
          <cell r="AE72">
            <v>426.83000000000004</v>
          </cell>
        </row>
        <row r="73">
          <cell r="A73" t="str">
            <v xml:space="preserve">       a.  Adult Foster Care</v>
          </cell>
          <cell r="B73">
            <v>0</v>
          </cell>
          <cell r="C73">
            <v>0</v>
          </cell>
          <cell r="D73">
            <v>1.17</v>
          </cell>
          <cell r="E73">
            <v>1.17</v>
          </cell>
          <cell r="F73">
            <v>1.17</v>
          </cell>
          <cell r="G73">
            <v>1.17</v>
          </cell>
          <cell r="I73" t="str">
            <v xml:space="preserve">       a.  Adult Foster Care</v>
          </cell>
          <cell r="J73">
            <v>0</v>
          </cell>
          <cell r="K73">
            <v>0</v>
          </cell>
          <cell r="L73">
            <v>0</v>
          </cell>
          <cell r="M73">
            <v>1.17</v>
          </cell>
          <cell r="N73">
            <v>0</v>
          </cell>
          <cell r="O73">
            <v>1.17</v>
          </cell>
          <cell r="Q73" t="str">
            <v xml:space="preserve">       a.  Adult Foster Care</v>
          </cell>
          <cell r="R73">
            <v>0</v>
          </cell>
          <cell r="S73">
            <v>0</v>
          </cell>
          <cell r="T73">
            <v>0</v>
          </cell>
          <cell r="U73">
            <v>1.17</v>
          </cell>
          <cell r="V73">
            <v>0</v>
          </cell>
          <cell r="W73">
            <v>1.17</v>
          </cell>
          <cell r="Y73" t="str">
            <v xml:space="preserve">       a.  Adult Foster Care</v>
          </cell>
          <cell r="Z73">
            <v>0</v>
          </cell>
          <cell r="AA73">
            <v>0</v>
          </cell>
          <cell r="AB73">
            <v>0</v>
          </cell>
          <cell r="AC73">
            <v>1.17</v>
          </cell>
          <cell r="AD73">
            <v>0</v>
          </cell>
          <cell r="AE73">
            <v>1.17</v>
          </cell>
        </row>
        <row r="74">
          <cell r="A74" t="str">
            <v xml:space="preserve">       b.  Assisted Living Home (Adult Care Home)</v>
          </cell>
          <cell r="B74">
            <v>19.060000000000002</v>
          </cell>
          <cell r="C74">
            <v>19.060000000000002</v>
          </cell>
          <cell r="D74">
            <v>4.7</v>
          </cell>
          <cell r="E74">
            <v>4.7</v>
          </cell>
          <cell r="F74">
            <v>23.76</v>
          </cell>
          <cell r="G74">
            <v>23.76</v>
          </cell>
          <cell r="I74" t="str">
            <v xml:space="preserve">       b.  Assisted Living Home (Adult Care Home)</v>
          </cell>
          <cell r="J74">
            <v>0</v>
          </cell>
          <cell r="K74">
            <v>19.060000000000002</v>
          </cell>
          <cell r="L74">
            <v>0</v>
          </cell>
          <cell r="M74">
            <v>4.7</v>
          </cell>
          <cell r="N74">
            <v>0</v>
          </cell>
          <cell r="O74">
            <v>23.76</v>
          </cell>
          <cell r="Q74" t="str">
            <v xml:space="preserve">       b.  Assisted Living Home (Adult Care Home)</v>
          </cell>
          <cell r="R74">
            <v>0</v>
          </cell>
          <cell r="S74">
            <v>19.060000000000002</v>
          </cell>
          <cell r="T74">
            <v>0</v>
          </cell>
          <cell r="U74">
            <v>4.7</v>
          </cell>
          <cell r="V74">
            <v>0</v>
          </cell>
          <cell r="W74">
            <v>23.76</v>
          </cell>
          <cell r="Y74" t="str">
            <v xml:space="preserve">       b.  Assisted Living Home (Adult Care Home)</v>
          </cell>
          <cell r="Z74">
            <v>0</v>
          </cell>
          <cell r="AA74">
            <v>19.060000000000002</v>
          </cell>
          <cell r="AB74">
            <v>0</v>
          </cell>
          <cell r="AC74">
            <v>4.7</v>
          </cell>
          <cell r="AD74">
            <v>0</v>
          </cell>
          <cell r="AE74">
            <v>23.76</v>
          </cell>
        </row>
        <row r="75">
          <cell r="A75" t="str">
            <v xml:space="preserve">       c.  Group Home (DD)</v>
          </cell>
          <cell r="B75">
            <v>0</v>
          </cell>
          <cell r="C75">
            <v>0</v>
          </cell>
          <cell r="D75">
            <v>0</v>
          </cell>
          <cell r="E75">
            <v>0</v>
          </cell>
          <cell r="F75">
            <v>0</v>
          </cell>
          <cell r="G75">
            <v>0</v>
          </cell>
          <cell r="I75" t="str">
            <v xml:space="preserve">       c.  Group Home (DD)</v>
          </cell>
          <cell r="J75">
            <v>0</v>
          </cell>
          <cell r="K75">
            <v>0</v>
          </cell>
          <cell r="L75">
            <v>0</v>
          </cell>
          <cell r="M75">
            <v>0</v>
          </cell>
          <cell r="N75">
            <v>0</v>
          </cell>
          <cell r="O75">
            <v>0</v>
          </cell>
          <cell r="Q75" t="str">
            <v xml:space="preserve">       c.  Group Home (DD)</v>
          </cell>
          <cell r="R75">
            <v>0</v>
          </cell>
          <cell r="S75">
            <v>0</v>
          </cell>
          <cell r="T75">
            <v>0</v>
          </cell>
          <cell r="U75">
            <v>0</v>
          </cell>
          <cell r="V75">
            <v>0</v>
          </cell>
          <cell r="W75">
            <v>0</v>
          </cell>
          <cell r="Y75" t="str">
            <v xml:space="preserve">       c.  Group Home (DD)</v>
          </cell>
          <cell r="Z75">
            <v>0</v>
          </cell>
          <cell r="AA75">
            <v>0</v>
          </cell>
          <cell r="AB75">
            <v>0</v>
          </cell>
          <cell r="AC75">
            <v>0</v>
          </cell>
          <cell r="AD75">
            <v>0</v>
          </cell>
          <cell r="AE75">
            <v>0</v>
          </cell>
        </row>
        <row r="76">
          <cell r="A76" t="str">
            <v xml:space="preserve">       d.  Individual Home</v>
          </cell>
          <cell r="B76">
            <v>104.99</v>
          </cell>
          <cell r="C76">
            <v>104.99</v>
          </cell>
          <cell r="D76">
            <v>45.69</v>
          </cell>
          <cell r="E76">
            <v>45.69</v>
          </cell>
          <cell r="F76">
            <v>150.68</v>
          </cell>
          <cell r="G76">
            <v>150.68</v>
          </cell>
          <cell r="I76" t="str">
            <v xml:space="preserve">       d.  Individual Home</v>
          </cell>
          <cell r="J76">
            <v>0</v>
          </cell>
          <cell r="K76">
            <v>104.99</v>
          </cell>
          <cell r="L76">
            <v>0</v>
          </cell>
          <cell r="M76">
            <v>45.69</v>
          </cell>
          <cell r="N76">
            <v>0</v>
          </cell>
          <cell r="O76">
            <v>150.68</v>
          </cell>
          <cell r="Q76" t="str">
            <v xml:space="preserve">       d.  Individual Home</v>
          </cell>
          <cell r="R76">
            <v>0</v>
          </cell>
          <cell r="S76">
            <v>104.99</v>
          </cell>
          <cell r="T76">
            <v>0</v>
          </cell>
          <cell r="U76">
            <v>45.69</v>
          </cell>
          <cell r="V76">
            <v>0</v>
          </cell>
          <cell r="W76">
            <v>150.68</v>
          </cell>
          <cell r="Y76" t="str">
            <v xml:space="preserve">       d.  Individual Home</v>
          </cell>
          <cell r="Z76">
            <v>0</v>
          </cell>
          <cell r="AA76">
            <v>104.99</v>
          </cell>
          <cell r="AB76">
            <v>0</v>
          </cell>
          <cell r="AC76">
            <v>45.69</v>
          </cell>
          <cell r="AD76">
            <v>0</v>
          </cell>
          <cell r="AE76">
            <v>150.68</v>
          </cell>
        </row>
        <row r="77">
          <cell r="A77" t="str">
            <v xml:space="preserve">       e.  Assisted Living Centers (SRL)</v>
          </cell>
          <cell r="B77">
            <v>144.38999999999999</v>
          </cell>
          <cell r="C77">
            <v>144.38999999999999</v>
          </cell>
          <cell r="D77">
            <v>8.17</v>
          </cell>
          <cell r="E77">
            <v>8.17</v>
          </cell>
          <cell r="F77">
            <v>152.56</v>
          </cell>
          <cell r="G77">
            <v>152.56</v>
          </cell>
          <cell r="I77" t="str">
            <v xml:space="preserve">       e.  Assisted Living Centers (SRL)</v>
          </cell>
          <cell r="J77">
            <v>0</v>
          </cell>
          <cell r="K77">
            <v>144.38999999999999</v>
          </cell>
          <cell r="L77">
            <v>0</v>
          </cell>
          <cell r="M77">
            <v>8.17</v>
          </cell>
          <cell r="N77">
            <v>0</v>
          </cell>
          <cell r="O77">
            <v>152.56</v>
          </cell>
          <cell r="Q77" t="str">
            <v xml:space="preserve">       e.  Assisted Living Centers (SRL)</v>
          </cell>
          <cell r="R77">
            <v>0</v>
          </cell>
          <cell r="S77">
            <v>144.38999999999999</v>
          </cell>
          <cell r="T77">
            <v>0</v>
          </cell>
          <cell r="U77">
            <v>8.17</v>
          </cell>
          <cell r="V77">
            <v>0</v>
          </cell>
          <cell r="W77">
            <v>152.56</v>
          </cell>
          <cell r="Y77" t="str">
            <v xml:space="preserve">       e.  Assisted Living Centers (SRL)</v>
          </cell>
          <cell r="Z77">
            <v>0</v>
          </cell>
          <cell r="AA77">
            <v>144.38999999999999</v>
          </cell>
          <cell r="AB77">
            <v>0</v>
          </cell>
          <cell r="AC77">
            <v>8.17</v>
          </cell>
          <cell r="AD77">
            <v>0</v>
          </cell>
          <cell r="AE77">
            <v>152.56</v>
          </cell>
        </row>
        <row r="78">
          <cell r="A78" t="str">
            <v xml:space="preserve">       f.  Other (Hospice)</v>
          </cell>
          <cell r="B78">
            <v>1.9100000000000001</v>
          </cell>
          <cell r="C78">
            <v>1.9100000000000001</v>
          </cell>
          <cell r="D78">
            <v>0</v>
          </cell>
          <cell r="E78">
            <v>0</v>
          </cell>
          <cell r="F78">
            <v>1.9100000000000001</v>
          </cell>
          <cell r="G78">
            <v>1.9100000000000001</v>
          </cell>
          <cell r="I78" t="str">
            <v xml:space="preserve">       f.  Other (Hospice)</v>
          </cell>
          <cell r="J78">
            <v>0</v>
          </cell>
          <cell r="K78">
            <v>1.9100000000000001</v>
          </cell>
          <cell r="L78">
            <v>0</v>
          </cell>
          <cell r="M78">
            <v>0</v>
          </cell>
          <cell r="N78">
            <v>0</v>
          </cell>
          <cell r="O78">
            <v>1.9100000000000001</v>
          </cell>
          <cell r="Q78" t="str">
            <v xml:space="preserve">       f.  Other (Hospice)</v>
          </cell>
          <cell r="R78">
            <v>0</v>
          </cell>
          <cell r="S78">
            <v>1.9100000000000001</v>
          </cell>
          <cell r="T78">
            <v>0</v>
          </cell>
          <cell r="U78">
            <v>0</v>
          </cell>
          <cell r="V78">
            <v>0</v>
          </cell>
          <cell r="W78">
            <v>1.9100000000000001</v>
          </cell>
          <cell r="Y78" t="str">
            <v xml:space="preserve">       f.  Other (Hospice)</v>
          </cell>
          <cell r="Z78">
            <v>0</v>
          </cell>
          <cell r="AA78">
            <v>1.9100000000000001</v>
          </cell>
          <cell r="AB78">
            <v>0</v>
          </cell>
          <cell r="AC78">
            <v>0</v>
          </cell>
          <cell r="AD78">
            <v>0</v>
          </cell>
          <cell r="AE78">
            <v>1.9100000000000001</v>
          </cell>
        </row>
        <row r="79">
          <cell r="A79" t="str">
            <v xml:space="preserve">       g.  Attendant Care</v>
          </cell>
          <cell r="B79">
            <v>68.13</v>
          </cell>
          <cell r="C79">
            <v>68.13</v>
          </cell>
          <cell r="D79">
            <v>28.619999999999997</v>
          </cell>
          <cell r="E79">
            <v>28.619999999999997</v>
          </cell>
          <cell r="F79">
            <v>96.75</v>
          </cell>
          <cell r="G79">
            <v>96.75</v>
          </cell>
          <cell r="I79" t="str">
            <v xml:space="preserve">       g.  Attendant Care</v>
          </cell>
          <cell r="J79">
            <v>0</v>
          </cell>
          <cell r="K79">
            <v>68.13</v>
          </cell>
          <cell r="L79">
            <v>0</v>
          </cell>
          <cell r="M79">
            <v>28.619999999999997</v>
          </cell>
          <cell r="N79">
            <v>0</v>
          </cell>
          <cell r="O79">
            <v>96.75</v>
          </cell>
          <cell r="Q79" t="str">
            <v xml:space="preserve">       g.  Attendant Care</v>
          </cell>
          <cell r="R79">
            <v>0</v>
          </cell>
          <cell r="S79">
            <v>68.13</v>
          </cell>
          <cell r="T79">
            <v>0</v>
          </cell>
          <cell r="U79">
            <v>28.619999999999997</v>
          </cell>
          <cell r="V79">
            <v>0</v>
          </cell>
          <cell r="W79">
            <v>96.75</v>
          </cell>
          <cell r="Y79" t="str">
            <v xml:space="preserve">       g.  Attendant Care</v>
          </cell>
          <cell r="Z79">
            <v>0</v>
          </cell>
          <cell r="AA79">
            <v>68.13</v>
          </cell>
          <cell r="AB79">
            <v>0</v>
          </cell>
          <cell r="AC79">
            <v>28.619999999999997</v>
          </cell>
          <cell r="AD79">
            <v>0</v>
          </cell>
          <cell r="AE79">
            <v>96.75</v>
          </cell>
        </row>
        <row r="80">
          <cell r="A80" t="str">
            <v xml:space="preserve">   8.  Acute Care</v>
          </cell>
          <cell r="B80">
            <v>11</v>
          </cell>
          <cell r="C80">
            <v>11</v>
          </cell>
          <cell r="D80">
            <v>6.0299999999999994</v>
          </cell>
          <cell r="E80">
            <v>6.0299999999999994</v>
          </cell>
          <cell r="F80">
            <v>17.03</v>
          </cell>
          <cell r="G80">
            <v>17.03</v>
          </cell>
          <cell r="I80" t="str">
            <v xml:space="preserve">   8.  Acute Care</v>
          </cell>
          <cell r="J80">
            <v>0</v>
          </cell>
          <cell r="K80">
            <v>11</v>
          </cell>
          <cell r="L80">
            <v>0</v>
          </cell>
          <cell r="M80">
            <v>6.0299999999999994</v>
          </cell>
          <cell r="N80">
            <v>0</v>
          </cell>
          <cell r="O80">
            <v>17.03</v>
          </cell>
          <cell r="Q80" t="str">
            <v xml:space="preserve">   8.  Acute Care</v>
          </cell>
          <cell r="R80">
            <v>0</v>
          </cell>
          <cell r="S80">
            <v>11</v>
          </cell>
          <cell r="T80">
            <v>0</v>
          </cell>
          <cell r="U80">
            <v>6.0299999999999994</v>
          </cell>
          <cell r="V80">
            <v>0</v>
          </cell>
          <cell r="W80">
            <v>17.03</v>
          </cell>
          <cell r="Y80" t="str">
            <v xml:space="preserve">   8.  Acute Care</v>
          </cell>
          <cell r="Z80">
            <v>0</v>
          </cell>
          <cell r="AA80">
            <v>11</v>
          </cell>
          <cell r="AB80">
            <v>0</v>
          </cell>
          <cell r="AC80">
            <v>6.0299999999999994</v>
          </cell>
          <cell r="AD80">
            <v>0</v>
          </cell>
          <cell r="AE80">
            <v>17.03</v>
          </cell>
        </row>
        <row r="81">
          <cell r="A81" t="str">
            <v xml:space="preserve">   9.  Ventilator</v>
          </cell>
          <cell r="B81">
            <v>0</v>
          </cell>
          <cell r="C81">
            <v>0</v>
          </cell>
          <cell r="D81">
            <v>3</v>
          </cell>
          <cell r="E81">
            <v>3</v>
          </cell>
          <cell r="F81">
            <v>3</v>
          </cell>
          <cell r="G81">
            <v>3</v>
          </cell>
          <cell r="I81" t="str">
            <v xml:space="preserve">   9.  Ventilator</v>
          </cell>
          <cell r="J81">
            <v>0</v>
          </cell>
          <cell r="K81">
            <v>0</v>
          </cell>
          <cell r="L81">
            <v>0</v>
          </cell>
          <cell r="M81">
            <v>3</v>
          </cell>
          <cell r="N81">
            <v>0</v>
          </cell>
          <cell r="O81">
            <v>3</v>
          </cell>
          <cell r="Q81" t="str">
            <v xml:space="preserve">   9.  Ventilator</v>
          </cell>
          <cell r="R81">
            <v>0</v>
          </cell>
          <cell r="S81">
            <v>0</v>
          </cell>
          <cell r="T81">
            <v>0</v>
          </cell>
          <cell r="U81">
            <v>3</v>
          </cell>
          <cell r="V81">
            <v>0</v>
          </cell>
          <cell r="W81">
            <v>3</v>
          </cell>
          <cell r="Y81" t="str">
            <v xml:space="preserve">   9.  Ventilator</v>
          </cell>
          <cell r="Z81">
            <v>0</v>
          </cell>
          <cell r="AA81">
            <v>0</v>
          </cell>
          <cell r="AB81">
            <v>0</v>
          </cell>
          <cell r="AC81">
            <v>3</v>
          </cell>
          <cell r="AD81">
            <v>0</v>
          </cell>
          <cell r="AE81">
            <v>3</v>
          </cell>
        </row>
        <row r="82">
          <cell r="A82" t="str">
            <v xml:space="preserve">  10.  Prior Period</v>
          </cell>
          <cell r="B82">
            <v>16.677399999999999</v>
          </cell>
          <cell r="C82">
            <v>16.677399999999999</v>
          </cell>
          <cell r="D82">
            <v>4.9333</v>
          </cell>
          <cell r="E82">
            <v>4.9333</v>
          </cell>
          <cell r="F82">
            <v>21.610700000000001</v>
          </cell>
          <cell r="G82">
            <v>21.610700000000001</v>
          </cell>
          <cell r="I82" t="str">
            <v xml:space="preserve">  10.  Prior Period</v>
          </cell>
          <cell r="J82">
            <v>0</v>
          </cell>
          <cell r="K82">
            <v>16.677399999999999</v>
          </cell>
          <cell r="L82">
            <v>0</v>
          </cell>
          <cell r="M82">
            <v>4.9333</v>
          </cell>
          <cell r="N82">
            <v>0</v>
          </cell>
          <cell r="O82">
            <v>21.610700000000001</v>
          </cell>
          <cell r="Q82" t="str">
            <v xml:space="preserve">  10.  Prior Period</v>
          </cell>
          <cell r="R82">
            <v>0</v>
          </cell>
          <cell r="S82">
            <v>16.677399999999999</v>
          </cell>
          <cell r="T82">
            <v>0</v>
          </cell>
          <cell r="U82">
            <v>4.9333</v>
          </cell>
          <cell r="V82">
            <v>0</v>
          </cell>
          <cell r="W82">
            <v>21.610700000000001</v>
          </cell>
          <cell r="Y82" t="str">
            <v xml:space="preserve">  10.  Prior Period</v>
          </cell>
          <cell r="Z82">
            <v>0</v>
          </cell>
          <cell r="AA82">
            <v>16.677399999999999</v>
          </cell>
          <cell r="AB82">
            <v>0</v>
          </cell>
          <cell r="AC82">
            <v>4.9333</v>
          </cell>
          <cell r="AD82">
            <v>0</v>
          </cell>
          <cell r="AE82">
            <v>21.610700000000001</v>
          </cell>
        </row>
        <row r="83">
          <cell r="A83" t="str">
            <v xml:space="preserve">  11.  Other - Not Placed</v>
          </cell>
          <cell r="B83">
            <v>-42.91</v>
          </cell>
          <cell r="C83">
            <v>-42.91</v>
          </cell>
          <cell r="D83">
            <v>-4.43</v>
          </cell>
          <cell r="E83">
            <v>-4.43</v>
          </cell>
          <cell r="F83">
            <v>-47.34</v>
          </cell>
          <cell r="G83">
            <v>-47.34</v>
          </cell>
          <cell r="I83" t="str">
            <v xml:space="preserve">  11.  Other - Not Placed</v>
          </cell>
          <cell r="J83">
            <v>0</v>
          </cell>
          <cell r="K83">
            <v>-42.91</v>
          </cell>
          <cell r="L83">
            <v>0</v>
          </cell>
          <cell r="M83">
            <v>-4.43</v>
          </cell>
          <cell r="N83">
            <v>0</v>
          </cell>
          <cell r="O83">
            <v>-47.34</v>
          </cell>
          <cell r="Q83" t="str">
            <v xml:space="preserve">  11.  Other - Not Placed</v>
          </cell>
          <cell r="R83">
            <v>0</v>
          </cell>
          <cell r="S83">
            <v>-42.91</v>
          </cell>
          <cell r="T83">
            <v>0</v>
          </cell>
          <cell r="U83">
            <v>-4.43</v>
          </cell>
          <cell r="V83">
            <v>0</v>
          </cell>
          <cell r="W83">
            <v>-47.34</v>
          </cell>
          <cell r="Y83" t="str">
            <v xml:space="preserve">  11.  Other - Not Placed</v>
          </cell>
          <cell r="Z83">
            <v>0</v>
          </cell>
          <cell r="AA83">
            <v>-42.91</v>
          </cell>
          <cell r="AB83">
            <v>0</v>
          </cell>
          <cell r="AC83">
            <v>-4.43</v>
          </cell>
          <cell r="AD83">
            <v>0</v>
          </cell>
          <cell r="AE83">
            <v>-47.34</v>
          </cell>
        </row>
        <row r="85">
          <cell r="A85" t="str">
            <v>C.   Acute Patient Day Information</v>
          </cell>
          <cell r="I85" t="str">
            <v>C.   Acute Patient Day Information</v>
          </cell>
          <cell r="Q85" t="str">
            <v>C.   Acute Patient Day Information</v>
          </cell>
          <cell r="Y85" t="str">
            <v>C.   Acute Patient Day Information</v>
          </cell>
        </row>
        <row r="86">
          <cell r="A86" t="str">
            <v xml:space="preserve">       a.  Admissions</v>
          </cell>
          <cell r="B86">
            <v>28</v>
          </cell>
          <cell r="C86">
            <v>28</v>
          </cell>
          <cell r="D86">
            <v>10</v>
          </cell>
          <cell r="E86">
            <v>10</v>
          </cell>
          <cell r="F86">
            <v>38</v>
          </cell>
          <cell r="G86">
            <v>38</v>
          </cell>
          <cell r="I86" t="str">
            <v xml:space="preserve">       a.  Admissions</v>
          </cell>
          <cell r="J86">
            <v>0</v>
          </cell>
          <cell r="K86">
            <v>28</v>
          </cell>
          <cell r="L86">
            <v>0</v>
          </cell>
          <cell r="M86">
            <v>10</v>
          </cell>
          <cell r="N86">
            <v>0</v>
          </cell>
          <cell r="O86">
            <v>38</v>
          </cell>
          <cell r="Q86" t="str">
            <v xml:space="preserve">       a.  Admissions</v>
          </cell>
          <cell r="R86">
            <v>0</v>
          </cell>
          <cell r="S86">
            <v>28</v>
          </cell>
          <cell r="T86">
            <v>0</v>
          </cell>
          <cell r="U86">
            <v>10</v>
          </cell>
          <cell r="V86">
            <v>0</v>
          </cell>
          <cell r="W86">
            <v>38</v>
          </cell>
          <cell r="Y86" t="str">
            <v xml:space="preserve">       a.  Admissions</v>
          </cell>
          <cell r="Z86">
            <v>0</v>
          </cell>
          <cell r="AA86">
            <v>28</v>
          </cell>
          <cell r="AB86">
            <v>0</v>
          </cell>
          <cell r="AC86">
            <v>10</v>
          </cell>
          <cell r="AD86">
            <v>0</v>
          </cell>
          <cell r="AE86">
            <v>38</v>
          </cell>
        </row>
        <row r="87">
          <cell r="A87" t="str">
            <v xml:space="preserve">       b.  Patient Days</v>
          </cell>
          <cell r="B87">
            <v>170</v>
          </cell>
          <cell r="C87">
            <v>170</v>
          </cell>
          <cell r="D87">
            <v>63</v>
          </cell>
          <cell r="E87">
            <v>63</v>
          </cell>
          <cell r="F87">
            <v>233</v>
          </cell>
          <cell r="G87">
            <v>233</v>
          </cell>
          <cell r="I87" t="str">
            <v xml:space="preserve">       b.  Patient Days</v>
          </cell>
          <cell r="J87">
            <v>0</v>
          </cell>
          <cell r="K87">
            <v>170</v>
          </cell>
          <cell r="L87">
            <v>0</v>
          </cell>
          <cell r="M87">
            <v>63</v>
          </cell>
          <cell r="N87">
            <v>0</v>
          </cell>
          <cell r="O87">
            <v>233</v>
          </cell>
          <cell r="Q87" t="str">
            <v xml:space="preserve">       b.  Patient Days</v>
          </cell>
          <cell r="R87">
            <v>0</v>
          </cell>
          <cell r="S87">
            <v>170</v>
          </cell>
          <cell r="T87">
            <v>0</v>
          </cell>
          <cell r="U87">
            <v>63</v>
          </cell>
          <cell r="V87">
            <v>0</v>
          </cell>
          <cell r="W87">
            <v>233</v>
          </cell>
          <cell r="Y87" t="str">
            <v xml:space="preserve">       b.  Patient Days</v>
          </cell>
          <cell r="Z87">
            <v>0</v>
          </cell>
          <cell r="AA87">
            <v>170</v>
          </cell>
          <cell r="AB87">
            <v>0</v>
          </cell>
          <cell r="AC87">
            <v>63</v>
          </cell>
          <cell r="AD87">
            <v>0</v>
          </cell>
          <cell r="AE87">
            <v>233</v>
          </cell>
        </row>
        <row r="88">
          <cell r="A88" t="str">
            <v xml:space="preserve">       c.  Discharges</v>
          </cell>
          <cell r="B88">
            <v>26</v>
          </cell>
          <cell r="C88">
            <v>26</v>
          </cell>
          <cell r="D88">
            <v>10</v>
          </cell>
          <cell r="E88">
            <v>10</v>
          </cell>
          <cell r="F88">
            <v>36</v>
          </cell>
          <cell r="G88">
            <v>36</v>
          </cell>
          <cell r="I88" t="str">
            <v xml:space="preserve">       c.  Discharges</v>
          </cell>
          <cell r="J88">
            <v>0</v>
          </cell>
          <cell r="K88">
            <v>26</v>
          </cell>
          <cell r="L88">
            <v>0</v>
          </cell>
          <cell r="M88">
            <v>10</v>
          </cell>
          <cell r="N88">
            <v>0</v>
          </cell>
          <cell r="O88">
            <v>36</v>
          </cell>
          <cell r="Q88" t="str">
            <v xml:space="preserve">       c.  Discharges</v>
          </cell>
          <cell r="R88">
            <v>0</v>
          </cell>
          <cell r="S88">
            <v>26</v>
          </cell>
          <cell r="T88">
            <v>0</v>
          </cell>
          <cell r="U88">
            <v>10</v>
          </cell>
          <cell r="V88">
            <v>0</v>
          </cell>
          <cell r="W88">
            <v>36</v>
          </cell>
          <cell r="Y88" t="str">
            <v xml:space="preserve">       c.  Discharges</v>
          </cell>
          <cell r="Z88">
            <v>0</v>
          </cell>
          <cell r="AA88">
            <v>26</v>
          </cell>
          <cell r="AB88">
            <v>0</v>
          </cell>
          <cell r="AC88">
            <v>10</v>
          </cell>
          <cell r="AD88">
            <v>0</v>
          </cell>
          <cell r="AE88">
            <v>36</v>
          </cell>
        </row>
        <row r="89">
          <cell r="A89" t="str">
            <v xml:space="preserve">       d.  Discharge Days</v>
          </cell>
          <cell r="B89">
            <v>131</v>
          </cell>
          <cell r="C89">
            <v>131</v>
          </cell>
          <cell r="D89">
            <v>58</v>
          </cell>
          <cell r="E89">
            <v>58</v>
          </cell>
          <cell r="F89">
            <v>189</v>
          </cell>
          <cell r="G89">
            <v>189</v>
          </cell>
          <cell r="I89" t="str">
            <v xml:space="preserve">       d.  Discharge Days</v>
          </cell>
          <cell r="J89">
            <v>0</v>
          </cell>
          <cell r="K89">
            <v>131</v>
          </cell>
          <cell r="L89">
            <v>0</v>
          </cell>
          <cell r="M89">
            <v>58</v>
          </cell>
          <cell r="N89">
            <v>0</v>
          </cell>
          <cell r="O89">
            <v>189</v>
          </cell>
          <cell r="Q89" t="str">
            <v xml:space="preserve">       d.  Discharge Days</v>
          </cell>
          <cell r="R89">
            <v>0</v>
          </cell>
          <cell r="S89">
            <v>131</v>
          </cell>
          <cell r="T89">
            <v>0</v>
          </cell>
          <cell r="U89">
            <v>58</v>
          </cell>
          <cell r="V89">
            <v>0</v>
          </cell>
          <cell r="W89">
            <v>189</v>
          </cell>
          <cell r="Y89" t="str">
            <v xml:space="preserve">       d.  Discharge Days</v>
          </cell>
          <cell r="Z89">
            <v>0</v>
          </cell>
          <cell r="AA89">
            <v>131</v>
          </cell>
          <cell r="AB89">
            <v>0</v>
          </cell>
          <cell r="AC89">
            <v>58</v>
          </cell>
          <cell r="AD89">
            <v>0</v>
          </cell>
          <cell r="AE89">
            <v>189</v>
          </cell>
        </row>
        <row r="90">
          <cell r="A90" t="str">
            <v xml:space="preserve">       e.  Average Length of Stay</v>
          </cell>
          <cell r="B90">
            <v>5.0384615384615383</v>
          </cell>
          <cell r="C90">
            <v>5.0384615384615383</v>
          </cell>
          <cell r="D90">
            <v>5.8</v>
          </cell>
          <cell r="E90">
            <v>5.8</v>
          </cell>
          <cell r="F90">
            <v>5.25</v>
          </cell>
          <cell r="G90">
            <v>5.25</v>
          </cell>
          <cell r="I90" t="str">
            <v xml:space="preserve">       e.  Average Length of Stay</v>
          </cell>
          <cell r="J90">
            <v>0</v>
          </cell>
          <cell r="K90">
            <v>5.0384615384615383</v>
          </cell>
          <cell r="L90">
            <v>0</v>
          </cell>
          <cell r="M90">
            <v>5.8</v>
          </cell>
          <cell r="N90">
            <v>0</v>
          </cell>
          <cell r="O90">
            <v>5.25</v>
          </cell>
          <cell r="Q90" t="str">
            <v xml:space="preserve">       e.  Average Length of Stay</v>
          </cell>
          <cell r="R90">
            <v>0</v>
          </cell>
          <cell r="S90">
            <v>5.0384615384615383</v>
          </cell>
          <cell r="T90">
            <v>0</v>
          </cell>
          <cell r="U90">
            <v>5.8</v>
          </cell>
          <cell r="V90">
            <v>0</v>
          </cell>
          <cell r="W90">
            <v>5.25</v>
          </cell>
          <cell r="Y90" t="str">
            <v xml:space="preserve">       e.  Average Length of Stay</v>
          </cell>
          <cell r="Z90">
            <v>0</v>
          </cell>
          <cell r="AA90">
            <v>5.0384615384615383</v>
          </cell>
          <cell r="AB90">
            <v>0</v>
          </cell>
          <cell r="AC90">
            <v>5.8</v>
          </cell>
          <cell r="AD90">
            <v>0</v>
          </cell>
          <cell r="AE90">
            <v>5.25</v>
          </cell>
        </row>
        <row r="92">
          <cell r="A92" t="str">
            <v>D.   Emergency Room Visits</v>
          </cell>
          <cell r="B92">
            <v>18</v>
          </cell>
          <cell r="C92">
            <v>18</v>
          </cell>
          <cell r="D92">
            <v>10</v>
          </cell>
          <cell r="E92">
            <v>10</v>
          </cell>
          <cell r="F92">
            <v>28</v>
          </cell>
          <cell r="G92">
            <v>28</v>
          </cell>
          <cell r="I92" t="str">
            <v>D.   Emergency Room Visits</v>
          </cell>
          <cell r="J92">
            <v>0</v>
          </cell>
          <cell r="K92">
            <v>18</v>
          </cell>
          <cell r="L92">
            <v>0</v>
          </cell>
          <cell r="M92">
            <v>10</v>
          </cell>
          <cell r="N92">
            <v>0</v>
          </cell>
          <cell r="O92">
            <v>28</v>
          </cell>
          <cell r="Q92" t="str">
            <v>D.   Emergency Room Visits</v>
          </cell>
          <cell r="R92">
            <v>0</v>
          </cell>
          <cell r="S92">
            <v>18</v>
          </cell>
          <cell r="T92">
            <v>0</v>
          </cell>
          <cell r="U92">
            <v>10</v>
          </cell>
          <cell r="V92">
            <v>0</v>
          </cell>
          <cell r="W92">
            <v>28</v>
          </cell>
          <cell r="Y92" t="str">
            <v>D.   Emergency Room Visits</v>
          </cell>
          <cell r="Z92">
            <v>0</v>
          </cell>
          <cell r="AA92">
            <v>18</v>
          </cell>
          <cell r="AB92">
            <v>0</v>
          </cell>
          <cell r="AC92">
            <v>10</v>
          </cell>
          <cell r="AD92">
            <v>0</v>
          </cell>
          <cell r="AE92">
            <v>28</v>
          </cell>
        </row>
        <row r="96">
          <cell r="A96" t="str">
            <v>Program Contractor Financial Reporting Systems - Report #11C Utilization Data Report Consolidated by County</v>
          </cell>
          <cell r="I96" t="str">
            <v>Program Contractor Financial Reporting Systems - Report #11C Utilization Data Report Consolidated by County</v>
          </cell>
          <cell r="Q96" t="str">
            <v>Program Contractor Financial Reporting Systems - Report #11C Utilization Data Report Consolidated by County</v>
          </cell>
          <cell r="Y96" t="str">
            <v>Program Contractor Financial Reporting Systems - Report #11C Utilization Data Report Consolidated by County</v>
          </cell>
        </row>
        <row r="98">
          <cell r="A98" t="str">
            <v>Statement for Program Contractor 110049 - Evercare of Arizona, Inc.</v>
          </cell>
          <cell r="F98" t="str">
            <v>County:</v>
          </cell>
          <cell r="G98" t="str">
            <v>La Paz</v>
          </cell>
          <cell r="I98" t="str">
            <v>Statement for Program Contractor 110049 - Evercare of Arizona, Inc.</v>
          </cell>
          <cell r="N98" t="str">
            <v>County:</v>
          </cell>
          <cell r="O98" t="str">
            <v>La Paz</v>
          </cell>
          <cell r="Q98" t="str">
            <v>Statement for Program Contractor 110049 - Evercare of Arizona, Inc.</v>
          </cell>
          <cell r="V98" t="str">
            <v>County:</v>
          </cell>
          <cell r="W98" t="str">
            <v>La Paz</v>
          </cell>
          <cell r="Y98" t="str">
            <v>Statement for Program Contractor 110049 - Evercare of Arizona, Inc.</v>
          </cell>
          <cell r="AD98" t="str">
            <v>County:</v>
          </cell>
          <cell r="AE98" t="str">
            <v>La Paz</v>
          </cell>
        </row>
        <row r="100">
          <cell r="A100" t="str">
            <v>For the Quarter ending 12/31/2005 in the Fiscal Year ending 9/30/2006</v>
          </cell>
          <cell r="F100" t="str">
            <v>Page 3 of 8</v>
          </cell>
          <cell r="I100" t="str">
            <v>For the Quarter ending 3/31/2006 in the Fiscal Year ending 9/30/2006</v>
          </cell>
          <cell r="N100" t="str">
            <v>Page 3 of 8</v>
          </cell>
          <cell r="Q100" t="str">
            <v>For the Quarter ending 6/30/2006 in the Fiscal Year ending 9/30/2006</v>
          </cell>
          <cell r="V100" t="str">
            <v>Page 3 of 8</v>
          </cell>
          <cell r="Y100" t="str">
            <v>For the Quarter ending 9/30/2006 in the Fiscal Year ending 9/30/2006</v>
          </cell>
          <cell r="AD100" t="str">
            <v>Page 3 of 8</v>
          </cell>
        </row>
        <row r="103">
          <cell r="A103" t="str">
            <v>Utilization Data Report by County</v>
          </cell>
          <cell r="I103" t="str">
            <v>Utilization Data Report by County</v>
          </cell>
          <cell r="Q103" t="str">
            <v>Utilization Data Report by County</v>
          </cell>
          <cell r="Y103" t="str">
            <v>Utilization Data Report by County</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row>
        <row r="108">
          <cell r="A108" t="str">
            <v>A.   Enrollees (At End of Period)</v>
          </cell>
          <cell r="B108">
            <v>65</v>
          </cell>
          <cell r="D108">
            <v>6</v>
          </cell>
          <cell r="F108">
            <v>71</v>
          </cell>
          <cell r="I108" t="str">
            <v>A.   Enrollees (At End of Period)</v>
          </cell>
          <cell r="J108">
            <v>0</v>
          </cell>
          <cell r="L108">
            <v>0</v>
          </cell>
          <cell r="N108">
            <v>0</v>
          </cell>
          <cell r="Q108" t="str">
            <v>A.   Enrollees (At End of Period)</v>
          </cell>
          <cell r="R108">
            <v>0</v>
          </cell>
          <cell r="T108">
            <v>0</v>
          </cell>
          <cell r="V108">
            <v>0</v>
          </cell>
          <cell r="Y108" t="str">
            <v>A.   Enrollees (At End of Period)</v>
          </cell>
          <cell r="Z108">
            <v>0</v>
          </cell>
          <cell r="AB108">
            <v>0</v>
          </cell>
          <cell r="AD108">
            <v>0</v>
          </cell>
        </row>
        <row r="110">
          <cell r="A110" t="str">
            <v>B.   Member Months (Unduplicated)</v>
          </cell>
          <cell r="B110">
            <v>222.08120000000002</v>
          </cell>
          <cell r="C110">
            <v>222.08120000000002</v>
          </cell>
          <cell r="D110">
            <v>17.07</v>
          </cell>
          <cell r="E110">
            <v>17.07</v>
          </cell>
          <cell r="F110">
            <v>239.15120000000002</v>
          </cell>
          <cell r="G110">
            <v>239.15120000000002</v>
          </cell>
          <cell r="I110" t="str">
            <v>B.   Member Months (Unduplicated)</v>
          </cell>
          <cell r="J110">
            <v>0</v>
          </cell>
          <cell r="K110">
            <v>222.08120000000002</v>
          </cell>
          <cell r="L110">
            <v>0</v>
          </cell>
          <cell r="M110">
            <v>17.07</v>
          </cell>
          <cell r="N110">
            <v>0</v>
          </cell>
          <cell r="O110">
            <v>239.15120000000002</v>
          </cell>
          <cell r="Q110" t="str">
            <v>B.   Member Months (Unduplicated)</v>
          </cell>
          <cell r="R110">
            <v>0</v>
          </cell>
          <cell r="S110">
            <v>222.08120000000002</v>
          </cell>
          <cell r="T110">
            <v>0</v>
          </cell>
          <cell r="U110">
            <v>17.07</v>
          </cell>
          <cell r="V110">
            <v>0</v>
          </cell>
          <cell r="W110">
            <v>239.15120000000002</v>
          </cell>
          <cell r="Y110" t="str">
            <v>B.   Member Months (Unduplicated)</v>
          </cell>
          <cell r="Z110">
            <v>0</v>
          </cell>
          <cell r="AA110">
            <v>222.08120000000002</v>
          </cell>
          <cell r="AB110">
            <v>0</v>
          </cell>
          <cell r="AC110">
            <v>17.07</v>
          </cell>
          <cell r="AD110">
            <v>0</v>
          </cell>
          <cell r="AE110">
            <v>239.15120000000002</v>
          </cell>
        </row>
        <row r="111">
          <cell r="A111" t="str">
            <v xml:space="preserve">   Institutional Member Months Total</v>
          </cell>
          <cell r="B111">
            <v>122.67000000000002</v>
          </cell>
          <cell r="C111">
            <v>122.67000000000002</v>
          </cell>
          <cell r="D111">
            <v>3</v>
          </cell>
          <cell r="E111">
            <v>3</v>
          </cell>
          <cell r="F111">
            <v>125.67000000000002</v>
          </cell>
          <cell r="G111">
            <v>125.67000000000002</v>
          </cell>
          <cell r="I111" t="str">
            <v xml:space="preserve">   Institutional Member Months Total</v>
          </cell>
          <cell r="J111">
            <v>0</v>
          </cell>
          <cell r="K111">
            <v>122.67000000000002</v>
          </cell>
          <cell r="L111">
            <v>0</v>
          </cell>
          <cell r="M111">
            <v>3</v>
          </cell>
          <cell r="N111">
            <v>0</v>
          </cell>
          <cell r="O111">
            <v>125.67000000000002</v>
          </cell>
          <cell r="Q111" t="str">
            <v xml:space="preserve">   Institutional Member Months Total</v>
          </cell>
          <cell r="R111">
            <v>0</v>
          </cell>
          <cell r="S111">
            <v>122.67000000000002</v>
          </cell>
          <cell r="T111">
            <v>0</v>
          </cell>
          <cell r="U111">
            <v>3</v>
          </cell>
          <cell r="V111">
            <v>0</v>
          </cell>
          <cell r="W111">
            <v>125.67000000000002</v>
          </cell>
          <cell r="Y111" t="str">
            <v xml:space="preserve">   Institutional Member Months Total</v>
          </cell>
          <cell r="Z111">
            <v>0</v>
          </cell>
          <cell r="AA111">
            <v>122.67000000000002</v>
          </cell>
          <cell r="AB111">
            <v>0</v>
          </cell>
          <cell r="AC111">
            <v>3</v>
          </cell>
          <cell r="AD111">
            <v>0</v>
          </cell>
          <cell r="AE111">
            <v>125.67000000000002</v>
          </cell>
        </row>
        <row r="112">
          <cell r="A112" t="str">
            <v xml:space="preserve">   1.  Level I</v>
          </cell>
          <cell r="B112">
            <v>78.349999999999994</v>
          </cell>
          <cell r="C112">
            <v>78.349999999999994</v>
          </cell>
          <cell r="D112">
            <v>0</v>
          </cell>
          <cell r="E112">
            <v>0</v>
          </cell>
          <cell r="F112">
            <v>78.349999999999994</v>
          </cell>
          <cell r="G112">
            <v>78.349999999999994</v>
          </cell>
          <cell r="I112" t="str">
            <v xml:space="preserve">   1.  Level I</v>
          </cell>
          <cell r="J112">
            <v>0</v>
          </cell>
          <cell r="K112">
            <v>78.349999999999994</v>
          </cell>
          <cell r="L112">
            <v>0</v>
          </cell>
          <cell r="M112">
            <v>0</v>
          </cell>
          <cell r="N112">
            <v>0</v>
          </cell>
          <cell r="O112">
            <v>78.349999999999994</v>
          </cell>
          <cell r="Q112" t="str">
            <v xml:space="preserve">   1.  Level I</v>
          </cell>
          <cell r="R112">
            <v>0</v>
          </cell>
          <cell r="S112">
            <v>78.349999999999994</v>
          </cell>
          <cell r="T112">
            <v>0</v>
          </cell>
          <cell r="U112">
            <v>0</v>
          </cell>
          <cell r="V112">
            <v>0</v>
          </cell>
          <cell r="W112">
            <v>78.349999999999994</v>
          </cell>
          <cell r="Y112" t="str">
            <v xml:space="preserve">   1.  Level I</v>
          </cell>
          <cell r="Z112">
            <v>0</v>
          </cell>
          <cell r="AA112">
            <v>78.349999999999994</v>
          </cell>
          <cell r="AB112">
            <v>0</v>
          </cell>
          <cell r="AC112">
            <v>0</v>
          </cell>
          <cell r="AD112">
            <v>0</v>
          </cell>
          <cell r="AE112">
            <v>78.349999999999994</v>
          </cell>
        </row>
        <row r="113">
          <cell r="A113" t="str">
            <v xml:space="preserve">   2.  Level II</v>
          </cell>
          <cell r="B113">
            <v>37.57</v>
          </cell>
          <cell r="C113">
            <v>37.57</v>
          </cell>
          <cell r="D113">
            <v>3</v>
          </cell>
          <cell r="E113">
            <v>3</v>
          </cell>
          <cell r="F113">
            <v>40.57</v>
          </cell>
          <cell r="G113">
            <v>40.57</v>
          </cell>
          <cell r="I113" t="str">
            <v xml:space="preserve">   2.  Level II</v>
          </cell>
          <cell r="J113">
            <v>0</v>
          </cell>
          <cell r="K113">
            <v>37.57</v>
          </cell>
          <cell r="L113">
            <v>0</v>
          </cell>
          <cell r="M113">
            <v>3</v>
          </cell>
          <cell r="N113">
            <v>0</v>
          </cell>
          <cell r="O113">
            <v>40.57</v>
          </cell>
          <cell r="Q113" t="str">
            <v xml:space="preserve">   2.  Level II</v>
          </cell>
          <cell r="R113">
            <v>0</v>
          </cell>
          <cell r="S113">
            <v>37.57</v>
          </cell>
          <cell r="T113">
            <v>0</v>
          </cell>
          <cell r="U113">
            <v>3</v>
          </cell>
          <cell r="V113">
            <v>0</v>
          </cell>
          <cell r="W113">
            <v>40.57</v>
          </cell>
          <cell r="Y113" t="str">
            <v xml:space="preserve">   2.  Level II</v>
          </cell>
          <cell r="Z113">
            <v>0</v>
          </cell>
          <cell r="AA113">
            <v>37.57</v>
          </cell>
          <cell r="AB113">
            <v>0</v>
          </cell>
          <cell r="AC113">
            <v>3</v>
          </cell>
          <cell r="AD113">
            <v>0</v>
          </cell>
          <cell r="AE113">
            <v>40.57</v>
          </cell>
        </row>
        <row r="114">
          <cell r="A114" t="str">
            <v xml:space="preserve">   3.  Level III</v>
          </cell>
          <cell r="B114">
            <v>6.75</v>
          </cell>
          <cell r="C114">
            <v>6.75</v>
          </cell>
          <cell r="D114">
            <v>0</v>
          </cell>
          <cell r="E114">
            <v>0</v>
          </cell>
          <cell r="F114">
            <v>6.75</v>
          </cell>
          <cell r="G114">
            <v>6.75</v>
          </cell>
          <cell r="I114" t="str">
            <v xml:space="preserve">   3.  Level III</v>
          </cell>
          <cell r="J114">
            <v>0</v>
          </cell>
          <cell r="K114">
            <v>6.75</v>
          </cell>
          <cell r="L114">
            <v>0</v>
          </cell>
          <cell r="M114">
            <v>0</v>
          </cell>
          <cell r="N114">
            <v>0</v>
          </cell>
          <cell r="O114">
            <v>6.75</v>
          </cell>
          <cell r="Q114" t="str">
            <v xml:space="preserve">   3.  Level III</v>
          </cell>
          <cell r="R114">
            <v>0</v>
          </cell>
          <cell r="S114">
            <v>6.75</v>
          </cell>
          <cell r="T114">
            <v>0</v>
          </cell>
          <cell r="U114">
            <v>0</v>
          </cell>
          <cell r="V114">
            <v>0</v>
          </cell>
          <cell r="W114">
            <v>6.75</v>
          </cell>
          <cell r="Y114" t="str">
            <v xml:space="preserve">   3.  Level III</v>
          </cell>
          <cell r="Z114">
            <v>0</v>
          </cell>
          <cell r="AA114">
            <v>6.75</v>
          </cell>
          <cell r="AB114">
            <v>0</v>
          </cell>
          <cell r="AC114">
            <v>0</v>
          </cell>
          <cell r="AD114">
            <v>0</v>
          </cell>
          <cell r="AE114">
            <v>6.75</v>
          </cell>
        </row>
        <row r="115">
          <cell r="A115" t="str">
            <v xml:space="preserve">   4.  Level IV</v>
          </cell>
          <cell r="B115">
            <v>0</v>
          </cell>
          <cell r="C115">
            <v>0</v>
          </cell>
          <cell r="D115">
            <v>0</v>
          </cell>
          <cell r="E115">
            <v>0</v>
          </cell>
          <cell r="F115">
            <v>0</v>
          </cell>
          <cell r="G115">
            <v>0</v>
          </cell>
          <cell r="I115" t="str">
            <v xml:space="preserve">   4.  Level IV</v>
          </cell>
          <cell r="J115">
            <v>0</v>
          </cell>
          <cell r="K115">
            <v>0</v>
          </cell>
          <cell r="L115">
            <v>0</v>
          </cell>
          <cell r="M115">
            <v>0</v>
          </cell>
          <cell r="N115">
            <v>0</v>
          </cell>
          <cell r="O115">
            <v>0</v>
          </cell>
          <cell r="Q115" t="str">
            <v xml:space="preserve">   4.  Level IV</v>
          </cell>
          <cell r="R115">
            <v>0</v>
          </cell>
          <cell r="S115">
            <v>0</v>
          </cell>
          <cell r="T115">
            <v>0</v>
          </cell>
          <cell r="U115">
            <v>0</v>
          </cell>
          <cell r="V115">
            <v>0</v>
          </cell>
          <cell r="W115">
            <v>0</v>
          </cell>
          <cell r="Y115" t="str">
            <v xml:space="preserve">   4.  Level IV</v>
          </cell>
          <cell r="Z115">
            <v>0</v>
          </cell>
          <cell r="AA115">
            <v>0</v>
          </cell>
          <cell r="AB115">
            <v>0</v>
          </cell>
          <cell r="AC115">
            <v>0</v>
          </cell>
          <cell r="AD115">
            <v>0</v>
          </cell>
          <cell r="AE115">
            <v>0</v>
          </cell>
        </row>
        <row r="116">
          <cell r="A116" t="str">
            <v xml:space="preserve">   5.</v>
          </cell>
          <cell r="I116" t="str">
            <v xml:space="preserve">   5.</v>
          </cell>
          <cell r="Q116" t="str">
            <v xml:space="preserve">   5.</v>
          </cell>
          <cell r="Y116" t="str">
            <v xml:space="preserve">   5.</v>
          </cell>
        </row>
        <row r="117">
          <cell r="A117" t="str">
            <v xml:space="preserve">   6.</v>
          </cell>
          <cell r="I117" t="str">
            <v xml:space="preserve">   6.</v>
          </cell>
          <cell r="Q117" t="str">
            <v xml:space="preserve">   6.</v>
          </cell>
          <cell r="Y117" t="str">
            <v xml:space="preserve">   6.</v>
          </cell>
        </row>
        <row r="118">
          <cell r="A118" t="str">
            <v xml:space="preserve">   7.  Home and Community Based Services (HCBS) Total</v>
          </cell>
          <cell r="B118">
            <v>95.55</v>
          </cell>
          <cell r="C118">
            <v>95.55</v>
          </cell>
          <cell r="D118">
            <v>14.07</v>
          </cell>
          <cell r="E118">
            <v>14.07</v>
          </cell>
          <cell r="F118">
            <v>109.62</v>
          </cell>
          <cell r="G118">
            <v>109.62</v>
          </cell>
          <cell r="I118" t="str">
            <v xml:space="preserve">   7.  Home and Community Based Services (HCBS) Total</v>
          </cell>
          <cell r="J118">
            <v>0</v>
          </cell>
          <cell r="K118">
            <v>95.55</v>
          </cell>
          <cell r="L118">
            <v>0</v>
          </cell>
          <cell r="M118">
            <v>14.07</v>
          </cell>
          <cell r="N118">
            <v>0</v>
          </cell>
          <cell r="O118">
            <v>109.62</v>
          </cell>
          <cell r="Q118" t="str">
            <v xml:space="preserve">   7.  Home and Community Based Services (HCBS) Total</v>
          </cell>
          <cell r="R118">
            <v>0</v>
          </cell>
          <cell r="S118">
            <v>95.55</v>
          </cell>
          <cell r="T118">
            <v>0</v>
          </cell>
          <cell r="U118">
            <v>14.07</v>
          </cell>
          <cell r="V118">
            <v>0</v>
          </cell>
          <cell r="W118">
            <v>109.62</v>
          </cell>
          <cell r="Y118" t="str">
            <v xml:space="preserve">   7.  Home and Community Based Services (HCBS) Total</v>
          </cell>
          <cell r="Z118">
            <v>0</v>
          </cell>
          <cell r="AA118">
            <v>95.55</v>
          </cell>
          <cell r="AB118">
            <v>0</v>
          </cell>
          <cell r="AC118">
            <v>14.07</v>
          </cell>
          <cell r="AD118">
            <v>0</v>
          </cell>
          <cell r="AE118">
            <v>109.62</v>
          </cell>
        </row>
        <row r="119">
          <cell r="A119" t="str">
            <v xml:space="preserve">       a.  Adult Foster Care</v>
          </cell>
          <cell r="B119">
            <v>0</v>
          </cell>
          <cell r="C119">
            <v>0</v>
          </cell>
          <cell r="D119">
            <v>0</v>
          </cell>
          <cell r="E119">
            <v>0</v>
          </cell>
          <cell r="F119">
            <v>0</v>
          </cell>
          <cell r="G119">
            <v>0</v>
          </cell>
          <cell r="I119" t="str">
            <v xml:space="preserve">       a.  Adult Foster Care</v>
          </cell>
          <cell r="J119">
            <v>0</v>
          </cell>
          <cell r="K119">
            <v>0</v>
          </cell>
          <cell r="L119">
            <v>0</v>
          </cell>
          <cell r="M119">
            <v>0</v>
          </cell>
          <cell r="N119">
            <v>0</v>
          </cell>
          <cell r="O119">
            <v>0</v>
          </cell>
          <cell r="Q119" t="str">
            <v xml:space="preserve">       a.  Adult Foster Care</v>
          </cell>
          <cell r="R119">
            <v>0</v>
          </cell>
          <cell r="S119">
            <v>0</v>
          </cell>
          <cell r="T119">
            <v>0</v>
          </cell>
          <cell r="U119">
            <v>0</v>
          </cell>
          <cell r="V119">
            <v>0</v>
          </cell>
          <cell r="W119">
            <v>0</v>
          </cell>
          <cell r="Y119" t="str">
            <v xml:space="preserve">       a.  Adult Foster Care</v>
          </cell>
          <cell r="Z119">
            <v>0</v>
          </cell>
          <cell r="AA119">
            <v>0</v>
          </cell>
          <cell r="AB119">
            <v>0</v>
          </cell>
          <cell r="AC119">
            <v>0</v>
          </cell>
          <cell r="AD119">
            <v>0</v>
          </cell>
          <cell r="AE119">
            <v>0</v>
          </cell>
        </row>
        <row r="120">
          <cell r="A120" t="str">
            <v xml:space="preserve">       b.  Assisted Living Home (Adult Care Home)</v>
          </cell>
          <cell r="B120">
            <v>0</v>
          </cell>
          <cell r="C120">
            <v>0</v>
          </cell>
          <cell r="D120">
            <v>0</v>
          </cell>
          <cell r="E120">
            <v>0</v>
          </cell>
          <cell r="F120">
            <v>0</v>
          </cell>
          <cell r="G120">
            <v>0</v>
          </cell>
          <cell r="I120" t="str">
            <v xml:space="preserve">       b.  Assisted Living Home (Adult Care Home)</v>
          </cell>
          <cell r="J120">
            <v>0</v>
          </cell>
          <cell r="K120">
            <v>0</v>
          </cell>
          <cell r="L120">
            <v>0</v>
          </cell>
          <cell r="M120">
            <v>0</v>
          </cell>
          <cell r="N120">
            <v>0</v>
          </cell>
          <cell r="O120">
            <v>0</v>
          </cell>
          <cell r="Q120" t="str">
            <v xml:space="preserve">       b.  Assisted Living Home (Adult Care Home)</v>
          </cell>
          <cell r="R120">
            <v>0</v>
          </cell>
          <cell r="S120">
            <v>0</v>
          </cell>
          <cell r="T120">
            <v>0</v>
          </cell>
          <cell r="U120">
            <v>0</v>
          </cell>
          <cell r="V120">
            <v>0</v>
          </cell>
          <cell r="W120">
            <v>0</v>
          </cell>
          <cell r="Y120" t="str">
            <v xml:space="preserve">       b.  Assisted Living Home (Adult Care Home)</v>
          </cell>
          <cell r="Z120">
            <v>0</v>
          </cell>
          <cell r="AA120">
            <v>0</v>
          </cell>
          <cell r="AB120">
            <v>0</v>
          </cell>
          <cell r="AC120">
            <v>0</v>
          </cell>
          <cell r="AD120">
            <v>0</v>
          </cell>
          <cell r="AE120">
            <v>0</v>
          </cell>
        </row>
        <row r="121">
          <cell r="A121" t="str">
            <v xml:space="preserve">       c.  Group Home (DD)</v>
          </cell>
          <cell r="B121">
            <v>0</v>
          </cell>
          <cell r="C121">
            <v>0</v>
          </cell>
          <cell r="D121">
            <v>0</v>
          </cell>
          <cell r="E121">
            <v>0</v>
          </cell>
          <cell r="F121">
            <v>0</v>
          </cell>
          <cell r="G121">
            <v>0</v>
          </cell>
          <cell r="I121" t="str">
            <v xml:space="preserve">       c.  Group Home (DD)</v>
          </cell>
          <cell r="J121">
            <v>0</v>
          </cell>
          <cell r="K121">
            <v>0</v>
          </cell>
          <cell r="L121">
            <v>0</v>
          </cell>
          <cell r="M121">
            <v>0</v>
          </cell>
          <cell r="N121">
            <v>0</v>
          </cell>
          <cell r="O121">
            <v>0</v>
          </cell>
          <cell r="Q121" t="str">
            <v xml:space="preserve">       c.  Group Home (DD)</v>
          </cell>
          <cell r="R121">
            <v>0</v>
          </cell>
          <cell r="S121">
            <v>0</v>
          </cell>
          <cell r="T121">
            <v>0</v>
          </cell>
          <cell r="U121">
            <v>0</v>
          </cell>
          <cell r="V121">
            <v>0</v>
          </cell>
          <cell r="W121">
            <v>0</v>
          </cell>
          <cell r="Y121" t="str">
            <v xml:space="preserve">       c.  Group Home (DD)</v>
          </cell>
          <cell r="Z121">
            <v>0</v>
          </cell>
          <cell r="AA121">
            <v>0</v>
          </cell>
          <cell r="AB121">
            <v>0</v>
          </cell>
          <cell r="AC121">
            <v>0</v>
          </cell>
          <cell r="AD121">
            <v>0</v>
          </cell>
          <cell r="AE121">
            <v>0</v>
          </cell>
        </row>
        <row r="122">
          <cell r="A122" t="str">
            <v xml:space="preserve">       d.  Individual Home</v>
          </cell>
          <cell r="B122">
            <v>69.900000000000006</v>
          </cell>
          <cell r="C122">
            <v>69.900000000000006</v>
          </cell>
          <cell r="D122">
            <v>3</v>
          </cell>
          <cell r="E122">
            <v>3</v>
          </cell>
          <cell r="F122">
            <v>72.900000000000006</v>
          </cell>
          <cell r="G122">
            <v>72.900000000000006</v>
          </cell>
          <cell r="I122" t="str">
            <v xml:space="preserve">       d.  Individual Home</v>
          </cell>
          <cell r="J122">
            <v>0</v>
          </cell>
          <cell r="K122">
            <v>69.900000000000006</v>
          </cell>
          <cell r="L122">
            <v>0</v>
          </cell>
          <cell r="M122">
            <v>3</v>
          </cell>
          <cell r="N122">
            <v>0</v>
          </cell>
          <cell r="O122">
            <v>72.900000000000006</v>
          </cell>
          <cell r="Q122" t="str">
            <v xml:space="preserve">       d.  Individual Home</v>
          </cell>
          <cell r="R122">
            <v>0</v>
          </cell>
          <cell r="S122">
            <v>69.900000000000006</v>
          </cell>
          <cell r="T122">
            <v>0</v>
          </cell>
          <cell r="U122">
            <v>3</v>
          </cell>
          <cell r="V122">
            <v>0</v>
          </cell>
          <cell r="W122">
            <v>72.900000000000006</v>
          </cell>
          <cell r="Y122" t="str">
            <v xml:space="preserve">       d.  Individual Home</v>
          </cell>
          <cell r="Z122">
            <v>0</v>
          </cell>
          <cell r="AA122">
            <v>69.900000000000006</v>
          </cell>
          <cell r="AB122">
            <v>0</v>
          </cell>
          <cell r="AC122">
            <v>3</v>
          </cell>
          <cell r="AD122">
            <v>0</v>
          </cell>
          <cell r="AE122">
            <v>72.900000000000006</v>
          </cell>
        </row>
        <row r="123">
          <cell r="A123" t="str">
            <v xml:space="preserve">       e.  Assisted Living Centers (SRL)</v>
          </cell>
          <cell r="B123">
            <v>8.65</v>
          </cell>
          <cell r="C123">
            <v>8.65</v>
          </cell>
          <cell r="D123">
            <v>0</v>
          </cell>
          <cell r="E123">
            <v>0</v>
          </cell>
          <cell r="F123">
            <v>8.65</v>
          </cell>
          <cell r="G123">
            <v>8.65</v>
          </cell>
          <cell r="I123" t="str">
            <v xml:space="preserve">       e.  Assisted Living Centers (SRL)</v>
          </cell>
          <cell r="J123">
            <v>0</v>
          </cell>
          <cell r="K123">
            <v>8.65</v>
          </cell>
          <cell r="L123">
            <v>0</v>
          </cell>
          <cell r="M123">
            <v>0</v>
          </cell>
          <cell r="N123">
            <v>0</v>
          </cell>
          <cell r="O123">
            <v>8.65</v>
          </cell>
          <cell r="Q123" t="str">
            <v xml:space="preserve">       e.  Assisted Living Centers (SRL)</v>
          </cell>
          <cell r="R123">
            <v>0</v>
          </cell>
          <cell r="S123">
            <v>8.65</v>
          </cell>
          <cell r="T123">
            <v>0</v>
          </cell>
          <cell r="U123">
            <v>0</v>
          </cell>
          <cell r="V123">
            <v>0</v>
          </cell>
          <cell r="W123">
            <v>8.65</v>
          </cell>
          <cell r="Y123" t="str">
            <v xml:space="preserve">       e.  Assisted Living Centers (SRL)</v>
          </cell>
          <cell r="Z123">
            <v>0</v>
          </cell>
          <cell r="AA123">
            <v>8.65</v>
          </cell>
          <cell r="AB123">
            <v>0</v>
          </cell>
          <cell r="AC123">
            <v>0</v>
          </cell>
          <cell r="AD123">
            <v>0</v>
          </cell>
          <cell r="AE123">
            <v>8.65</v>
          </cell>
        </row>
        <row r="124">
          <cell r="A124" t="str">
            <v xml:space="preserve">       f.  Other (Hospice)</v>
          </cell>
          <cell r="B124">
            <v>0</v>
          </cell>
          <cell r="C124">
            <v>0</v>
          </cell>
          <cell r="D124">
            <v>3</v>
          </cell>
          <cell r="E124">
            <v>3</v>
          </cell>
          <cell r="F124">
            <v>3</v>
          </cell>
          <cell r="G124">
            <v>3</v>
          </cell>
          <cell r="I124" t="str">
            <v xml:space="preserve">       f.  Other (Hospice)</v>
          </cell>
          <cell r="J124">
            <v>0</v>
          </cell>
          <cell r="K124">
            <v>0</v>
          </cell>
          <cell r="L124">
            <v>0</v>
          </cell>
          <cell r="M124">
            <v>3</v>
          </cell>
          <cell r="N124">
            <v>0</v>
          </cell>
          <cell r="O124">
            <v>3</v>
          </cell>
          <cell r="Q124" t="str">
            <v xml:space="preserve">       f.  Other (Hospice)</v>
          </cell>
          <cell r="R124">
            <v>0</v>
          </cell>
          <cell r="S124">
            <v>0</v>
          </cell>
          <cell r="T124">
            <v>0</v>
          </cell>
          <cell r="U124">
            <v>3</v>
          </cell>
          <cell r="V124">
            <v>0</v>
          </cell>
          <cell r="W124">
            <v>3</v>
          </cell>
          <cell r="Y124" t="str">
            <v xml:space="preserve">       f.  Other (Hospice)</v>
          </cell>
          <cell r="Z124">
            <v>0</v>
          </cell>
          <cell r="AA124">
            <v>0</v>
          </cell>
          <cell r="AB124">
            <v>0</v>
          </cell>
          <cell r="AC124">
            <v>3</v>
          </cell>
          <cell r="AD124">
            <v>0</v>
          </cell>
          <cell r="AE124">
            <v>3</v>
          </cell>
        </row>
        <row r="125">
          <cell r="A125" t="str">
            <v xml:space="preserve">       g.  Attendant Care</v>
          </cell>
          <cell r="B125">
            <v>17</v>
          </cell>
          <cell r="C125">
            <v>17</v>
          </cell>
          <cell r="D125">
            <v>8.07</v>
          </cell>
          <cell r="E125">
            <v>8.07</v>
          </cell>
          <cell r="F125">
            <v>25.07</v>
          </cell>
          <cell r="G125">
            <v>25.07</v>
          </cell>
          <cell r="I125" t="str">
            <v xml:space="preserve">       g.  Attendant Care</v>
          </cell>
          <cell r="J125">
            <v>0</v>
          </cell>
          <cell r="K125">
            <v>17</v>
          </cell>
          <cell r="L125">
            <v>0</v>
          </cell>
          <cell r="M125">
            <v>8.07</v>
          </cell>
          <cell r="N125">
            <v>0</v>
          </cell>
          <cell r="O125">
            <v>25.07</v>
          </cell>
          <cell r="Q125" t="str">
            <v xml:space="preserve">       g.  Attendant Care</v>
          </cell>
          <cell r="R125">
            <v>0</v>
          </cell>
          <cell r="S125">
            <v>17</v>
          </cell>
          <cell r="T125">
            <v>0</v>
          </cell>
          <cell r="U125">
            <v>8.07</v>
          </cell>
          <cell r="V125">
            <v>0</v>
          </cell>
          <cell r="W125">
            <v>25.07</v>
          </cell>
          <cell r="Y125" t="str">
            <v xml:space="preserve">       g.  Attendant Care</v>
          </cell>
          <cell r="Z125">
            <v>0</v>
          </cell>
          <cell r="AA125">
            <v>17</v>
          </cell>
          <cell r="AB125">
            <v>0</v>
          </cell>
          <cell r="AC125">
            <v>8.07</v>
          </cell>
          <cell r="AD125">
            <v>0</v>
          </cell>
          <cell r="AE125">
            <v>25.07</v>
          </cell>
        </row>
        <row r="126">
          <cell r="A126" t="str">
            <v xml:space="preserve">   8.  Acute Care</v>
          </cell>
          <cell r="B126">
            <v>7.5299999999999994</v>
          </cell>
          <cell r="C126">
            <v>7.5299999999999994</v>
          </cell>
          <cell r="D126">
            <v>0</v>
          </cell>
          <cell r="E126">
            <v>0</v>
          </cell>
          <cell r="F126">
            <v>7.5299999999999994</v>
          </cell>
          <cell r="G126">
            <v>7.5299999999999994</v>
          </cell>
          <cell r="I126" t="str">
            <v xml:space="preserve">   8.  Acute Care</v>
          </cell>
          <cell r="J126">
            <v>0</v>
          </cell>
          <cell r="K126">
            <v>7.5299999999999994</v>
          </cell>
          <cell r="L126">
            <v>0</v>
          </cell>
          <cell r="M126">
            <v>0</v>
          </cell>
          <cell r="N126">
            <v>0</v>
          </cell>
          <cell r="O126">
            <v>7.5299999999999994</v>
          </cell>
          <cell r="Q126" t="str">
            <v xml:space="preserve">   8.  Acute Care</v>
          </cell>
          <cell r="R126">
            <v>0</v>
          </cell>
          <cell r="S126">
            <v>7.5299999999999994</v>
          </cell>
          <cell r="T126">
            <v>0</v>
          </cell>
          <cell r="U126">
            <v>0</v>
          </cell>
          <cell r="V126">
            <v>0</v>
          </cell>
          <cell r="W126">
            <v>7.5299999999999994</v>
          </cell>
          <cell r="Y126" t="str">
            <v xml:space="preserve">   8.  Acute Care</v>
          </cell>
          <cell r="Z126">
            <v>0</v>
          </cell>
          <cell r="AA126">
            <v>7.5299999999999994</v>
          </cell>
          <cell r="AB126">
            <v>0</v>
          </cell>
          <cell r="AC126">
            <v>0</v>
          </cell>
          <cell r="AD126">
            <v>0</v>
          </cell>
          <cell r="AE126">
            <v>7.5299999999999994</v>
          </cell>
        </row>
        <row r="127">
          <cell r="A127" t="str">
            <v xml:space="preserve">   9.  Ventilator</v>
          </cell>
          <cell r="B127">
            <v>0</v>
          </cell>
          <cell r="C127">
            <v>0</v>
          </cell>
          <cell r="D127">
            <v>0</v>
          </cell>
          <cell r="E127">
            <v>0</v>
          </cell>
          <cell r="F127">
            <v>0</v>
          </cell>
          <cell r="G127">
            <v>0</v>
          </cell>
          <cell r="I127" t="str">
            <v xml:space="preserve">   9.  Ventilator</v>
          </cell>
          <cell r="J127">
            <v>0</v>
          </cell>
          <cell r="K127">
            <v>0</v>
          </cell>
          <cell r="L127">
            <v>0</v>
          </cell>
          <cell r="M127">
            <v>0</v>
          </cell>
          <cell r="N127">
            <v>0</v>
          </cell>
          <cell r="O127">
            <v>0</v>
          </cell>
          <cell r="Q127" t="str">
            <v xml:space="preserve">   9.  Ventilator</v>
          </cell>
          <cell r="R127">
            <v>0</v>
          </cell>
          <cell r="S127">
            <v>0</v>
          </cell>
          <cell r="T127">
            <v>0</v>
          </cell>
          <cell r="U127">
            <v>0</v>
          </cell>
          <cell r="V127">
            <v>0</v>
          </cell>
          <cell r="W127">
            <v>0</v>
          </cell>
          <cell r="Y127" t="str">
            <v xml:space="preserve">   9.  Ventilator</v>
          </cell>
          <cell r="Z127">
            <v>0</v>
          </cell>
          <cell r="AA127">
            <v>0</v>
          </cell>
          <cell r="AB127">
            <v>0</v>
          </cell>
          <cell r="AC127">
            <v>0</v>
          </cell>
          <cell r="AD127">
            <v>0</v>
          </cell>
          <cell r="AE127">
            <v>0</v>
          </cell>
        </row>
        <row r="128">
          <cell r="A128" t="str">
            <v xml:space="preserve">  10.  Prior Period</v>
          </cell>
          <cell r="B128">
            <v>19.161200000000001</v>
          </cell>
          <cell r="C128">
            <v>19.161200000000001</v>
          </cell>
          <cell r="D128">
            <v>0</v>
          </cell>
          <cell r="E128">
            <v>0</v>
          </cell>
          <cell r="F128">
            <v>19.161200000000001</v>
          </cell>
          <cell r="G128">
            <v>19.161200000000001</v>
          </cell>
          <cell r="I128" t="str">
            <v xml:space="preserve">  10.  Prior Period</v>
          </cell>
          <cell r="J128">
            <v>0</v>
          </cell>
          <cell r="K128">
            <v>19.161200000000001</v>
          </cell>
          <cell r="L128">
            <v>0</v>
          </cell>
          <cell r="M128">
            <v>0</v>
          </cell>
          <cell r="N128">
            <v>0</v>
          </cell>
          <cell r="O128">
            <v>19.161200000000001</v>
          </cell>
          <cell r="Q128" t="str">
            <v xml:space="preserve">  10.  Prior Period</v>
          </cell>
          <cell r="R128">
            <v>0</v>
          </cell>
          <cell r="S128">
            <v>19.161200000000001</v>
          </cell>
          <cell r="T128">
            <v>0</v>
          </cell>
          <cell r="U128">
            <v>0</v>
          </cell>
          <cell r="V128">
            <v>0</v>
          </cell>
          <cell r="W128">
            <v>19.161200000000001</v>
          </cell>
          <cell r="Y128" t="str">
            <v xml:space="preserve">  10.  Prior Period</v>
          </cell>
          <cell r="Z128">
            <v>0</v>
          </cell>
          <cell r="AA128">
            <v>19.161200000000001</v>
          </cell>
          <cell r="AB128">
            <v>0</v>
          </cell>
          <cell r="AC128">
            <v>0</v>
          </cell>
          <cell r="AD128">
            <v>0</v>
          </cell>
          <cell r="AE128">
            <v>19.161200000000001</v>
          </cell>
        </row>
        <row r="129">
          <cell r="A129" t="str">
            <v xml:space="preserve">  11.  Other - Not Placed</v>
          </cell>
          <cell r="B129">
            <v>-22.83</v>
          </cell>
          <cell r="C129">
            <v>-22.83</v>
          </cell>
          <cell r="D129">
            <v>0</v>
          </cell>
          <cell r="E129">
            <v>0</v>
          </cell>
          <cell r="F129">
            <v>-22.83</v>
          </cell>
          <cell r="G129">
            <v>-22.83</v>
          </cell>
          <cell r="I129" t="str">
            <v xml:space="preserve">  11.  Other - Not Placed</v>
          </cell>
          <cell r="J129">
            <v>0</v>
          </cell>
          <cell r="K129">
            <v>-22.83</v>
          </cell>
          <cell r="L129">
            <v>0</v>
          </cell>
          <cell r="M129">
            <v>0</v>
          </cell>
          <cell r="N129">
            <v>0</v>
          </cell>
          <cell r="O129">
            <v>-22.83</v>
          </cell>
          <cell r="Q129" t="str">
            <v xml:space="preserve">  11.  Other - Not Placed</v>
          </cell>
          <cell r="R129">
            <v>0</v>
          </cell>
          <cell r="S129">
            <v>-22.83</v>
          </cell>
          <cell r="T129">
            <v>0</v>
          </cell>
          <cell r="U129">
            <v>0</v>
          </cell>
          <cell r="V129">
            <v>0</v>
          </cell>
          <cell r="W129">
            <v>-22.83</v>
          </cell>
          <cell r="Y129" t="str">
            <v xml:space="preserve">  11.  Other - Not Placed</v>
          </cell>
          <cell r="Z129">
            <v>0</v>
          </cell>
          <cell r="AA129">
            <v>-22.83</v>
          </cell>
          <cell r="AB129">
            <v>0</v>
          </cell>
          <cell r="AC129">
            <v>0</v>
          </cell>
          <cell r="AD129">
            <v>0</v>
          </cell>
          <cell r="AE129">
            <v>-22.83</v>
          </cell>
        </row>
        <row r="131">
          <cell r="A131" t="str">
            <v>C.   Acute Patient Day Information</v>
          </cell>
          <cell r="I131" t="str">
            <v>C.   Acute Patient Day Information</v>
          </cell>
          <cell r="Q131" t="str">
            <v>C.   Acute Patient Day Information</v>
          </cell>
          <cell r="Y131" t="str">
            <v>C.   Acute Patient Day Information</v>
          </cell>
        </row>
        <row r="132">
          <cell r="A132" t="str">
            <v xml:space="preserve">       a.  Admissions</v>
          </cell>
          <cell r="B132">
            <v>17</v>
          </cell>
          <cell r="C132">
            <v>17</v>
          </cell>
          <cell r="D132">
            <v>2</v>
          </cell>
          <cell r="E132">
            <v>2</v>
          </cell>
          <cell r="F132">
            <v>19</v>
          </cell>
          <cell r="G132">
            <v>19</v>
          </cell>
          <cell r="I132" t="str">
            <v xml:space="preserve">       a.  Admissions</v>
          </cell>
          <cell r="J132">
            <v>0</v>
          </cell>
          <cell r="K132">
            <v>17</v>
          </cell>
          <cell r="L132">
            <v>0</v>
          </cell>
          <cell r="M132">
            <v>2</v>
          </cell>
          <cell r="N132">
            <v>0</v>
          </cell>
          <cell r="O132">
            <v>19</v>
          </cell>
          <cell r="Q132" t="str">
            <v xml:space="preserve">       a.  Admissions</v>
          </cell>
          <cell r="R132">
            <v>0</v>
          </cell>
          <cell r="S132">
            <v>17</v>
          </cell>
          <cell r="T132">
            <v>0</v>
          </cell>
          <cell r="U132">
            <v>2</v>
          </cell>
          <cell r="V132">
            <v>0</v>
          </cell>
          <cell r="W132">
            <v>19</v>
          </cell>
          <cell r="Y132" t="str">
            <v xml:space="preserve">       a.  Admissions</v>
          </cell>
          <cell r="Z132">
            <v>0</v>
          </cell>
          <cell r="AA132">
            <v>17</v>
          </cell>
          <cell r="AB132">
            <v>0</v>
          </cell>
          <cell r="AC132">
            <v>2</v>
          </cell>
          <cell r="AD132">
            <v>0</v>
          </cell>
          <cell r="AE132">
            <v>19</v>
          </cell>
        </row>
        <row r="133">
          <cell r="A133" t="str">
            <v xml:space="preserve">       b.  Patient Days</v>
          </cell>
          <cell r="B133">
            <v>95</v>
          </cell>
          <cell r="C133">
            <v>95</v>
          </cell>
          <cell r="D133">
            <v>6</v>
          </cell>
          <cell r="E133">
            <v>6</v>
          </cell>
          <cell r="F133">
            <v>101</v>
          </cell>
          <cell r="G133">
            <v>101</v>
          </cell>
          <cell r="I133" t="str">
            <v xml:space="preserve">       b.  Patient Days</v>
          </cell>
          <cell r="J133">
            <v>0</v>
          </cell>
          <cell r="K133">
            <v>95</v>
          </cell>
          <cell r="L133">
            <v>0</v>
          </cell>
          <cell r="M133">
            <v>6</v>
          </cell>
          <cell r="N133">
            <v>0</v>
          </cell>
          <cell r="O133">
            <v>101</v>
          </cell>
          <cell r="Q133" t="str">
            <v xml:space="preserve">       b.  Patient Days</v>
          </cell>
          <cell r="R133">
            <v>0</v>
          </cell>
          <cell r="S133">
            <v>95</v>
          </cell>
          <cell r="T133">
            <v>0</v>
          </cell>
          <cell r="U133">
            <v>6</v>
          </cell>
          <cell r="V133">
            <v>0</v>
          </cell>
          <cell r="W133">
            <v>101</v>
          </cell>
          <cell r="Y133" t="str">
            <v xml:space="preserve">       b.  Patient Days</v>
          </cell>
          <cell r="Z133">
            <v>0</v>
          </cell>
          <cell r="AA133">
            <v>95</v>
          </cell>
          <cell r="AB133">
            <v>0</v>
          </cell>
          <cell r="AC133">
            <v>6</v>
          </cell>
          <cell r="AD133">
            <v>0</v>
          </cell>
          <cell r="AE133">
            <v>101</v>
          </cell>
        </row>
        <row r="134">
          <cell r="A134" t="str">
            <v xml:space="preserve">       c.  Discharges</v>
          </cell>
          <cell r="B134">
            <v>13</v>
          </cell>
          <cell r="C134">
            <v>13</v>
          </cell>
          <cell r="D134">
            <v>2</v>
          </cell>
          <cell r="E134">
            <v>2</v>
          </cell>
          <cell r="F134">
            <v>15</v>
          </cell>
          <cell r="G134">
            <v>15</v>
          </cell>
          <cell r="I134" t="str">
            <v xml:space="preserve">       c.  Discharges</v>
          </cell>
          <cell r="J134">
            <v>0</v>
          </cell>
          <cell r="K134">
            <v>13</v>
          </cell>
          <cell r="L134">
            <v>0</v>
          </cell>
          <cell r="M134">
            <v>2</v>
          </cell>
          <cell r="N134">
            <v>0</v>
          </cell>
          <cell r="O134">
            <v>15</v>
          </cell>
          <cell r="Q134" t="str">
            <v xml:space="preserve">       c.  Discharges</v>
          </cell>
          <cell r="R134">
            <v>0</v>
          </cell>
          <cell r="S134">
            <v>13</v>
          </cell>
          <cell r="T134">
            <v>0</v>
          </cell>
          <cell r="U134">
            <v>2</v>
          </cell>
          <cell r="V134">
            <v>0</v>
          </cell>
          <cell r="W134">
            <v>15</v>
          </cell>
          <cell r="Y134" t="str">
            <v xml:space="preserve">       c.  Discharges</v>
          </cell>
          <cell r="Z134">
            <v>0</v>
          </cell>
          <cell r="AA134">
            <v>13</v>
          </cell>
          <cell r="AB134">
            <v>0</v>
          </cell>
          <cell r="AC134">
            <v>2</v>
          </cell>
          <cell r="AD134">
            <v>0</v>
          </cell>
          <cell r="AE134">
            <v>15</v>
          </cell>
        </row>
        <row r="135">
          <cell r="A135" t="str">
            <v xml:space="preserve">       d.  Discharge Days</v>
          </cell>
          <cell r="B135">
            <v>65</v>
          </cell>
          <cell r="C135">
            <v>65</v>
          </cell>
          <cell r="D135">
            <v>6</v>
          </cell>
          <cell r="E135">
            <v>6</v>
          </cell>
          <cell r="F135">
            <v>71</v>
          </cell>
          <cell r="G135">
            <v>71</v>
          </cell>
          <cell r="I135" t="str">
            <v xml:space="preserve">       d.  Discharge Days</v>
          </cell>
          <cell r="J135">
            <v>0</v>
          </cell>
          <cell r="K135">
            <v>65</v>
          </cell>
          <cell r="L135">
            <v>0</v>
          </cell>
          <cell r="M135">
            <v>6</v>
          </cell>
          <cell r="N135">
            <v>0</v>
          </cell>
          <cell r="O135">
            <v>71</v>
          </cell>
          <cell r="Q135" t="str">
            <v xml:space="preserve">       d.  Discharge Days</v>
          </cell>
          <cell r="R135">
            <v>0</v>
          </cell>
          <cell r="S135">
            <v>65</v>
          </cell>
          <cell r="T135">
            <v>0</v>
          </cell>
          <cell r="U135">
            <v>6</v>
          </cell>
          <cell r="V135">
            <v>0</v>
          </cell>
          <cell r="W135">
            <v>71</v>
          </cell>
          <cell r="Y135" t="str">
            <v xml:space="preserve">       d.  Discharge Days</v>
          </cell>
          <cell r="Z135">
            <v>0</v>
          </cell>
          <cell r="AA135">
            <v>65</v>
          </cell>
          <cell r="AB135">
            <v>0</v>
          </cell>
          <cell r="AC135">
            <v>6</v>
          </cell>
          <cell r="AD135">
            <v>0</v>
          </cell>
          <cell r="AE135">
            <v>71</v>
          </cell>
        </row>
        <row r="136">
          <cell r="A136" t="str">
            <v xml:space="preserve">       e.  Average Length of Stay</v>
          </cell>
          <cell r="B136">
            <v>5</v>
          </cell>
          <cell r="C136">
            <v>5</v>
          </cell>
          <cell r="D136">
            <v>3</v>
          </cell>
          <cell r="E136">
            <v>3</v>
          </cell>
          <cell r="F136">
            <v>4.7333333333333334</v>
          </cell>
          <cell r="G136">
            <v>4.7333333333333334</v>
          </cell>
          <cell r="I136" t="str">
            <v xml:space="preserve">       e.  Average Length of Stay</v>
          </cell>
          <cell r="J136">
            <v>0</v>
          </cell>
          <cell r="K136">
            <v>5</v>
          </cell>
          <cell r="L136">
            <v>0</v>
          </cell>
          <cell r="M136">
            <v>3</v>
          </cell>
          <cell r="N136">
            <v>0</v>
          </cell>
          <cell r="O136">
            <v>4.7333333333333334</v>
          </cell>
          <cell r="Q136" t="str">
            <v xml:space="preserve">       e.  Average Length of Stay</v>
          </cell>
          <cell r="R136">
            <v>0</v>
          </cell>
          <cell r="S136">
            <v>5</v>
          </cell>
          <cell r="T136">
            <v>0</v>
          </cell>
          <cell r="U136">
            <v>3</v>
          </cell>
          <cell r="V136">
            <v>0</v>
          </cell>
          <cell r="W136">
            <v>4.7333333333333334</v>
          </cell>
          <cell r="Y136" t="str">
            <v xml:space="preserve">       e.  Average Length of Stay</v>
          </cell>
          <cell r="Z136">
            <v>0</v>
          </cell>
          <cell r="AA136">
            <v>5</v>
          </cell>
          <cell r="AB136">
            <v>0</v>
          </cell>
          <cell r="AC136">
            <v>3</v>
          </cell>
          <cell r="AD136">
            <v>0</v>
          </cell>
          <cell r="AE136">
            <v>4.7333333333333334</v>
          </cell>
        </row>
        <row r="138">
          <cell r="A138" t="str">
            <v>D.   Emergency Room Visits</v>
          </cell>
          <cell r="B138">
            <v>9</v>
          </cell>
          <cell r="C138">
            <v>9</v>
          </cell>
          <cell r="D138">
            <v>1</v>
          </cell>
          <cell r="E138">
            <v>1</v>
          </cell>
          <cell r="F138">
            <v>10</v>
          </cell>
          <cell r="G138">
            <v>10</v>
          </cell>
          <cell r="I138" t="str">
            <v>D.   Emergency Room Visits</v>
          </cell>
          <cell r="J138">
            <v>0</v>
          </cell>
          <cell r="K138">
            <v>9</v>
          </cell>
          <cell r="L138">
            <v>0</v>
          </cell>
          <cell r="M138">
            <v>1</v>
          </cell>
          <cell r="N138">
            <v>0</v>
          </cell>
          <cell r="O138">
            <v>10</v>
          </cell>
          <cell r="Q138" t="str">
            <v>D.   Emergency Room Visits</v>
          </cell>
          <cell r="R138">
            <v>0</v>
          </cell>
          <cell r="S138">
            <v>9</v>
          </cell>
          <cell r="T138">
            <v>0</v>
          </cell>
          <cell r="U138">
            <v>1</v>
          </cell>
          <cell r="V138">
            <v>0</v>
          </cell>
          <cell r="W138">
            <v>10</v>
          </cell>
          <cell r="Y138" t="str">
            <v>D.   Emergency Room Visits</v>
          </cell>
          <cell r="Z138">
            <v>0</v>
          </cell>
          <cell r="AA138">
            <v>9</v>
          </cell>
          <cell r="AB138">
            <v>0</v>
          </cell>
          <cell r="AC138">
            <v>1</v>
          </cell>
          <cell r="AD138">
            <v>0</v>
          </cell>
          <cell r="AE138">
            <v>10</v>
          </cell>
        </row>
        <row r="142">
          <cell r="A142" t="str">
            <v>Program Contractor Financial Reporting Systems - Report #11C Utilization Data Report Consolidated by County</v>
          </cell>
          <cell r="I142" t="str">
            <v>Program Contractor Financial Reporting Systems - Report #11C Utilization Data Report Consolidated by County</v>
          </cell>
          <cell r="Q142" t="str">
            <v>Program Contractor Financial Reporting Systems - Report #11C Utilization Data Report Consolidated by County</v>
          </cell>
          <cell r="Y142" t="str">
            <v>Program Contractor Financial Reporting Systems - Report #11C Utilization Data Report Consolidated by County</v>
          </cell>
        </row>
        <row r="144">
          <cell r="A144" t="str">
            <v>Statement for Program Contractor 110049 - Evercare of Arizona, Inc.</v>
          </cell>
          <cell r="F144" t="str">
            <v>County:</v>
          </cell>
          <cell r="G144" t="str">
            <v>Maricopa</v>
          </cell>
          <cell r="I144" t="str">
            <v>Statement for Program Contractor 110049 - Evercare of Arizona, Inc.</v>
          </cell>
          <cell r="N144" t="str">
            <v>County:</v>
          </cell>
          <cell r="O144" t="str">
            <v>Maricopa</v>
          </cell>
          <cell r="Q144" t="str">
            <v>Statement for Program Contractor 110049 - Evercare of Arizona, Inc.</v>
          </cell>
          <cell r="V144" t="str">
            <v>County:</v>
          </cell>
          <cell r="W144" t="str">
            <v>Maricopa</v>
          </cell>
          <cell r="Y144" t="str">
            <v>Statement for Program Contractor 110049 - Evercare of Arizona, Inc.</v>
          </cell>
          <cell r="AD144" t="str">
            <v>County:</v>
          </cell>
          <cell r="AE144" t="str">
            <v>Maricopa</v>
          </cell>
        </row>
        <row r="146">
          <cell r="A146" t="str">
            <v>For the Quarter ending 12/31/2005 in the Fiscal Year ending 9/30/2006</v>
          </cell>
          <cell r="F146" t="str">
            <v>Page 4 of 8</v>
          </cell>
          <cell r="I146" t="str">
            <v>For the Quarter ending 3/31/2006 in the Fiscal Year ending 9/30/2006</v>
          </cell>
          <cell r="N146" t="str">
            <v>Page 4 of 8</v>
          </cell>
          <cell r="Q146" t="str">
            <v>For the Quarter ending 6/30/2006 in the Fiscal Year ending 9/30/2006</v>
          </cell>
          <cell r="V146" t="str">
            <v>Page 4 of 8</v>
          </cell>
          <cell r="Y146" t="str">
            <v>For the Quarter ending 9/30/2006 in the Fiscal Year ending 9/30/2006</v>
          </cell>
          <cell r="AD146" t="str">
            <v>Page 4 of 8</v>
          </cell>
        </row>
        <row r="149">
          <cell r="A149" t="str">
            <v>Utilization Data Report by County</v>
          </cell>
          <cell r="I149" t="str">
            <v>Utilization Data Report by County</v>
          </cell>
          <cell r="Q149" t="str">
            <v>Utilization Data Report by County</v>
          </cell>
          <cell r="Y149" t="str">
            <v>Utilization Data Report by County</v>
          </cell>
        </row>
        <row r="151">
          <cell r="B151" t="str">
            <v>MEDICARE</v>
          </cell>
          <cell r="D151" t="str">
            <v>NON-MEDICARE</v>
          </cell>
          <cell r="F151" t="str">
            <v>TOTAL</v>
          </cell>
          <cell r="J151" t="str">
            <v>MEDICARE</v>
          </cell>
          <cell r="L151" t="str">
            <v>NON-MEDICARE</v>
          </cell>
          <cell r="N151" t="str">
            <v>TOTAL</v>
          </cell>
          <cell r="R151" t="str">
            <v>MEDICARE</v>
          </cell>
          <cell r="T151" t="str">
            <v>NON-MEDICARE</v>
          </cell>
          <cell r="V151" t="str">
            <v>TOTAL</v>
          </cell>
          <cell r="Z151" t="str">
            <v>MEDICARE</v>
          </cell>
          <cell r="AB151" t="str">
            <v>NON-MEDICARE</v>
          </cell>
          <cell r="AD151" t="str">
            <v>TOTAL</v>
          </cell>
        </row>
        <row r="152">
          <cell r="A152" t="str">
            <v>ITEM DESCRIPTION</v>
          </cell>
          <cell r="B152" t="str">
            <v>Current</v>
          </cell>
          <cell r="D152" t="str">
            <v>Current</v>
          </cell>
          <cell r="F152" t="str">
            <v>Current</v>
          </cell>
          <cell r="I152" t="str">
            <v>ITEM DESCRIPTION</v>
          </cell>
          <cell r="J152" t="str">
            <v>Current</v>
          </cell>
          <cell r="L152" t="str">
            <v>Current</v>
          </cell>
          <cell r="N152" t="str">
            <v>Current</v>
          </cell>
          <cell r="Q152" t="str">
            <v>ITEM DESCRIPTION</v>
          </cell>
          <cell r="R152" t="str">
            <v>Current</v>
          </cell>
          <cell r="T152" t="str">
            <v>Current</v>
          </cell>
          <cell r="V152" t="str">
            <v>Current</v>
          </cell>
          <cell r="Y152" t="str">
            <v>ITEM DESCRIPTION</v>
          </cell>
          <cell r="Z152" t="str">
            <v>Current</v>
          </cell>
          <cell r="AB152" t="str">
            <v>Current</v>
          </cell>
          <cell r="AD152" t="str">
            <v>Current</v>
          </cell>
        </row>
        <row r="153">
          <cell r="B153" t="str">
            <v>Period</v>
          </cell>
          <cell r="C153" t="str">
            <v>YTD</v>
          </cell>
          <cell r="D153" t="str">
            <v>Period</v>
          </cell>
          <cell r="E153" t="str">
            <v>YTD</v>
          </cell>
          <cell r="F153" t="str">
            <v>Period</v>
          </cell>
          <cell r="G153" t="str">
            <v>YTD</v>
          </cell>
          <cell r="J153" t="str">
            <v>Period</v>
          </cell>
          <cell r="K153" t="str">
            <v>YTD</v>
          </cell>
          <cell r="L153" t="str">
            <v>Period</v>
          </cell>
          <cell r="M153" t="str">
            <v>YTD</v>
          </cell>
          <cell r="N153" t="str">
            <v>Period</v>
          </cell>
          <cell r="O153" t="str">
            <v>YTD</v>
          </cell>
          <cell r="R153" t="str">
            <v>Period</v>
          </cell>
          <cell r="S153" t="str">
            <v>YTD</v>
          </cell>
          <cell r="T153" t="str">
            <v>Period</v>
          </cell>
          <cell r="U153" t="str">
            <v>YTD</v>
          </cell>
          <cell r="V153" t="str">
            <v>Period</v>
          </cell>
          <cell r="W153" t="str">
            <v>YTD</v>
          </cell>
          <cell r="Z153" t="str">
            <v>Period</v>
          </cell>
          <cell r="AA153" t="str">
            <v>YTD</v>
          </cell>
          <cell r="AB153" t="str">
            <v>Period</v>
          </cell>
          <cell r="AC153" t="str">
            <v>YTD</v>
          </cell>
          <cell r="AD153" t="str">
            <v>Period</v>
          </cell>
          <cell r="AE153" t="str">
            <v>YTD</v>
          </cell>
        </row>
        <row r="154">
          <cell r="A154" t="str">
            <v>A.   Enrollees (At End of Period)</v>
          </cell>
          <cell r="B154">
            <v>4533</v>
          </cell>
          <cell r="D154">
            <v>643</v>
          </cell>
          <cell r="F154">
            <v>5176</v>
          </cell>
          <cell r="I154" t="str">
            <v>A.   Enrollees (At End of Period)</v>
          </cell>
          <cell r="J154">
            <v>0</v>
          </cell>
          <cell r="L154">
            <v>0</v>
          </cell>
          <cell r="N154">
            <v>0</v>
          </cell>
          <cell r="Q154" t="str">
            <v>A.   Enrollees (At End of Period)</v>
          </cell>
          <cell r="R154">
            <v>0</v>
          </cell>
          <cell r="T154">
            <v>0</v>
          </cell>
          <cell r="V154">
            <v>0</v>
          </cell>
          <cell r="Y154" t="str">
            <v>A.   Enrollees (At End of Period)</v>
          </cell>
          <cell r="Z154">
            <v>0</v>
          </cell>
          <cell r="AB154">
            <v>0</v>
          </cell>
          <cell r="AD154">
            <v>0</v>
          </cell>
        </row>
        <row r="156">
          <cell r="A156" t="str">
            <v>B.   Member Months (Unduplicated)</v>
          </cell>
          <cell r="B156">
            <v>13367.0818</v>
          </cell>
          <cell r="C156">
            <v>13367.0818</v>
          </cell>
          <cell r="D156">
            <v>1964.4490999999998</v>
          </cell>
          <cell r="E156">
            <v>1964.4490999999998</v>
          </cell>
          <cell r="F156">
            <v>15331.530900000002</v>
          </cell>
          <cell r="G156">
            <v>15331.530900000002</v>
          </cell>
          <cell r="I156" t="str">
            <v>B.   Member Months (Unduplicated)</v>
          </cell>
          <cell r="J156">
            <v>0</v>
          </cell>
          <cell r="K156">
            <v>13367.0818</v>
          </cell>
          <cell r="L156">
            <v>0</v>
          </cell>
          <cell r="M156">
            <v>1964.4490999999998</v>
          </cell>
          <cell r="N156">
            <v>0</v>
          </cell>
          <cell r="O156">
            <v>15331.530900000002</v>
          </cell>
          <cell r="Q156" t="str">
            <v>B.   Member Months (Unduplicated)</v>
          </cell>
          <cell r="R156">
            <v>0</v>
          </cell>
          <cell r="S156">
            <v>13367.0818</v>
          </cell>
          <cell r="T156">
            <v>0</v>
          </cell>
          <cell r="U156">
            <v>1964.4490999999998</v>
          </cell>
          <cell r="V156">
            <v>0</v>
          </cell>
          <cell r="W156">
            <v>15331.530900000002</v>
          </cell>
          <cell r="Y156" t="str">
            <v>B.   Member Months (Unduplicated)</v>
          </cell>
          <cell r="Z156">
            <v>0</v>
          </cell>
          <cell r="AA156">
            <v>13367.0818</v>
          </cell>
          <cell r="AB156">
            <v>0</v>
          </cell>
          <cell r="AC156">
            <v>1964.4490999999998</v>
          </cell>
          <cell r="AD156">
            <v>0</v>
          </cell>
          <cell r="AE156">
            <v>15331.530900000002</v>
          </cell>
        </row>
        <row r="157">
          <cell r="A157" t="str">
            <v xml:space="preserve">   Institutional Member Months Total</v>
          </cell>
          <cell r="B157">
            <v>5378.28</v>
          </cell>
          <cell r="C157">
            <v>5378.28</v>
          </cell>
          <cell r="D157">
            <v>460.41999999999996</v>
          </cell>
          <cell r="E157">
            <v>460.41999999999996</v>
          </cell>
          <cell r="F157">
            <v>5838.7</v>
          </cell>
          <cell r="G157">
            <v>5838.7</v>
          </cell>
          <cell r="I157" t="str">
            <v xml:space="preserve">   Institutional Member Months Total</v>
          </cell>
          <cell r="J157">
            <v>0</v>
          </cell>
          <cell r="K157">
            <v>5378.28</v>
          </cell>
          <cell r="L157">
            <v>0</v>
          </cell>
          <cell r="M157">
            <v>460.41999999999996</v>
          </cell>
          <cell r="N157">
            <v>0</v>
          </cell>
          <cell r="O157">
            <v>5838.7</v>
          </cell>
          <cell r="Q157" t="str">
            <v xml:space="preserve">   Institutional Member Months Total</v>
          </cell>
          <cell r="R157">
            <v>0</v>
          </cell>
          <cell r="S157">
            <v>5378.28</v>
          </cell>
          <cell r="T157">
            <v>0</v>
          </cell>
          <cell r="U157">
            <v>460.41999999999996</v>
          </cell>
          <cell r="V157">
            <v>0</v>
          </cell>
          <cell r="W157">
            <v>5838.7</v>
          </cell>
          <cell r="Y157" t="str">
            <v xml:space="preserve">   Institutional Member Months Total</v>
          </cell>
          <cell r="Z157">
            <v>0</v>
          </cell>
          <cell r="AA157">
            <v>5378.28</v>
          </cell>
          <cell r="AB157">
            <v>0</v>
          </cell>
          <cell r="AC157">
            <v>460.41999999999996</v>
          </cell>
          <cell r="AD157">
            <v>0</v>
          </cell>
          <cell r="AE157">
            <v>5838.7</v>
          </cell>
        </row>
        <row r="158">
          <cell r="A158" t="str">
            <v xml:space="preserve">   1.  Level I</v>
          </cell>
          <cell r="B158">
            <v>3650.05</v>
          </cell>
          <cell r="C158">
            <v>3650.05</v>
          </cell>
          <cell r="D158">
            <v>288.17</v>
          </cell>
          <cell r="E158">
            <v>288.17</v>
          </cell>
          <cell r="F158">
            <v>3938.2200000000003</v>
          </cell>
          <cell r="G158">
            <v>3938.2200000000003</v>
          </cell>
          <cell r="I158" t="str">
            <v xml:space="preserve">   1.  Level I</v>
          </cell>
          <cell r="J158">
            <v>0</v>
          </cell>
          <cell r="K158">
            <v>3650.05</v>
          </cell>
          <cell r="L158">
            <v>0</v>
          </cell>
          <cell r="M158">
            <v>288.17</v>
          </cell>
          <cell r="N158">
            <v>0</v>
          </cell>
          <cell r="O158">
            <v>3938.2200000000003</v>
          </cell>
          <cell r="Q158" t="str">
            <v xml:space="preserve">   1.  Level I</v>
          </cell>
          <cell r="R158">
            <v>0</v>
          </cell>
          <cell r="S158">
            <v>3650.05</v>
          </cell>
          <cell r="T158">
            <v>0</v>
          </cell>
          <cell r="U158">
            <v>288.17</v>
          </cell>
          <cell r="V158">
            <v>0</v>
          </cell>
          <cell r="W158">
            <v>3938.2200000000003</v>
          </cell>
          <cell r="Y158" t="str">
            <v xml:space="preserve">   1.  Level I</v>
          </cell>
          <cell r="Z158">
            <v>0</v>
          </cell>
          <cell r="AA158">
            <v>3650.05</v>
          </cell>
          <cell r="AB158">
            <v>0</v>
          </cell>
          <cell r="AC158">
            <v>288.17</v>
          </cell>
          <cell r="AD158">
            <v>0</v>
          </cell>
          <cell r="AE158">
            <v>3938.2200000000003</v>
          </cell>
        </row>
        <row r="159">
          <cell r="A159" t="str">
            <v xml:space="preserve">   2.  Level II</v>
          </cell>
          <cell r="B159">
            <v>1526.49</v>
          </cell>
          <cell r="C159">
            <v>1526.49</v>
          </cell>
          <cell r="D159">
            <v>127.19</v>
          </cell>
          <cell r="E159">
            <v>127.19</v>
          </cell>
          <cell r="F159">
            <v>1653.68</v>
          </cell>
          <cell r="G159">
            <v>1653.68</v>
          </cell>
          <cell r="I159" t="str">
            <v xml:space="preserve">   2.  Level II</v>
          </cell>
          <cell r="J159">
            <v>0</v>
          </cell>
          <cell r="K159">
            <v>1526.49</v>
          </cell>
          <cell r="L159">
            <v>0</v>
          </cell>
          <cell r="M159">
            <v>127.19</v>
          </cell>
          <cell r="N159">
            <v>0</v>
          </cell>
          <cell r="O159">
            <v>1653.68</v>
          </cell>
          <cell r="Q159" t="str">
            <v xml:space="preserve">   2.  Level II</v>
          </cell>
          <cell r="R159">
            <v>0</v>
          </cell>
          <cell r="S159">
            <v>1526.49</v>
          </cell>
          <cell r="T159">
            <v>0</v>
          </cell>
          <cell r="U159">
            <v>127.19</v>
          </cell>
          <cell r="V159">
            <v>0</v>
          </cell>
          <cell r="W159">
            <v>1653.68</v>
          </cell>
          <cell r="Y159" t="str">
            <v xml:space="preserve">   2.  Level II</v>
          </cell>
          <cell r="Z159">
            <v>0</v>
          </cell>
          <cell r="AA159">
            <v>1526.49</v>
          </cell>
          <cell r="AB159">
            <v>0</v>
          </cell>
          <cell r="AC159">
            <v>127.19</v>
          </cell>
          <cell r="AD159">
            <v>0</v>
          </cell>
          <cell r="AE159">
            <v>1653.68</v>
          </cell>
        </row>
        <row r="160">
          <cell r="A160" t="str">
            <v xml:space="preserve">   3.  Level III</v>
          </cell>
          <cell r="B160">
            <v>200.77</v>
          </cell>
          <cell r="C160">
            <v>200.77</v>
          </cell>
          <cell r="D160">
            <v>31.090000000000003</v>
          </cell>
          <cell r="E160">
            <v>31.090000000000003</v>
          </cell>
          <cell r="F160">
            <v>231.86</v>
          </cell>
          <cell r="G160">
            <v>231.86</v>
          </cell>
          <cell r="I160" t="str">
            <v xml:space="preserve">   3.  Level III</v>
          </cell>
          <cell r="J160">
            <v>0</v>
          </cell>
          <cell r="K160">
            <v>200.77</v>
          </cell>
          <cell r="L160">
            <v>0</v>
          </cell>
          <cell r="M160">
            <v>31.090000000000003</v>
          </cell>
          <cell r="N160">
            <v>0</v>
          </cell>
          <cell r="O160">
            <v>231.86</v>
          </cell>
          <cell r="Q160" t="str">
            <v xml:space="preserve">   3.  Level III</v>
          </cell>
          <cell r="R160">
            <v>0</v>
          </cell>
          <cell r="S160">
            <v>200.77</v>
          </cell>
          <cell r="T160">
            <v>0</v>
          </cell>
          <cell r="U160">
            <v>31.090000000000003</v>
          </cell>
          <cell r="V160">
            <v>0</v>
          </cell>
          <cell r="W160">
            <v>231.86</v>
          </cell>
          <cell r="Y160" t="str">
            <v xml:space="preserve">   3.  Level III</v>
          </cell>
          <cell r="Z160">
            <v>0</v>
          </cell>
          <cell r="AA160">
            <v>200.77</v>
          </cell>
          <cell r="AB160">
            <v>0</v>
          </cell>
          <cell r="AC160">
            <v>31.090000000000003</v>
          </cell>
          <cell r="AD160">
            <v>0</v>
          </cell>
          <cell r="AE160">
            <v>231.86</v>
          </cell>
        </row>
        <row r="161">
          <cell r="A161" t="str">
            <v xml:space="preserve">   4.  Level IV</v>
          </cell>
          <cell r="B161">
            <v>0.97</v>
          </cell>
          <cell r="C161">
            <v>0.97</v>
          </cell>
          <cell r="D161">
            <v>13.969999999999999</v>
          </cell>
          <cell r="E161">
            <v>13.969999999999999</v>
          </cell>
          <cell r="F161">
            <v>14.94</v>
          </cell>
          <cell r="G161">
            <v>14.94</v>
          </cell>
          <cell r="I161" t="str">
            <v xml:space="preserve">   4.  Level IV</v>
          </cell>
          <cell r="J161">
            <v>0</v>
          </cell>
          <cell r="K161">
            <v>0.97</v>
          </cell>
          <cell r="L161">
            <v>0</v>
          </cell>
          <cell r="M161">
            <v>13.969999999999999</v>
          </cell>
          <cell r="N161">
            <v>0</v>
          </cell>
          <cell r="O161">
            <v>14.94</v>
          </cell>
          <cell r="Q161" t="str">
            <v xml:space="preserve">   4.  Level IV</v>
          </cell>
          <cell r="R161">
            <v>0</v>
          </cell>
          <cell r="S161">
            <v>0.97</v>
          </cell>
          <cell r="T161">
            <v>0</v>
          </cell>
          <cell r="U161">
            <v>13.969999999999999</v>
          </cell>
          <cell r="V161">
            <v>0</v>
          </cell>
          <cell r="W161">
            <v>14.94</v>
          </cell>
          <cell r="Y161" t="str">
            <v xml:space="preserve">   4.  Level IV</v>
          </cell>
          <cell r="Z161">
            <v>0</v>
          </cell>
          <cell r="AA161">
            <v>0.97</v>
          </cell>
          <cell r="AB161">
            <v>0</v>
          </cell>
          <cell r="AC161">
            <v>13.969999999999999</v>
          </cell>
          <cell r="AD161">
            <v>0</v>
          </cell>
          <cell r="AE161">
            <v>14.94</v>
          </cell>
        </row>
        <row r="162">
          <cell r="A162" t="str">
            <v xml:space="preserve">   5.</v>
          </cell>
          <cell r="I162" t="str">
            <v xml:space="preserve">   5.</v>
          </cell>
          <cell r="Q162" t="str">
            <v xml:space="preserve">   5.</v>
          </cell>
          <cell r="Y162" t="str">
            <v xml:space="preserve">   5.</v>
          </cell>
        </row>
        <row r="163">
          <cell r="A163" t="str">
            <v xml:space="preserve">   6.</v>
          </cell>
          <cell r="I163" t="str">
            <v xml:space="preserve">   6.</v>
          </cell>
          <cell r="Q163" t="str">
            <v xml:space="preserve">   6.</v>
          </cell>
          <cell r="Y163" t="str">
            <v xml:space="preserve">   6.</v>
          </cell>
        </row>
        <row r="164">
          <cell r="A164" t="str">
            <v xml:space="preserve">   7.  Home and Community Based Services (HCBS) Total</v>
          </cell>
          <cell r="B164">
            <v>8554.57</v>
          </cell>
          <cell r="C164">
            <v>8554.57</v>
          </cell>
          <cell r="D164">
            <v>1510.57</v>
          </cell>
          <cell r="E164">
            <v>1510.57</v>
          </cell>
          <cell r="F164">
            <v>10065.14</v>
          </cell>
          <cell r="G164">
            <v>10065.14</v>
          </cell>
          <cell r="I164" t="str">
            <v xml:space="preserve">   7.  Home and Community Based Services (HCBS) Total</v>
          </cell>
          <cell r="J164">
            <v>0</v>
          </cell>
          <cell r="K164">
            <v>8554.57</v>
          </cell>
          <cell r="L164">
            <v>0</v>
          </cell>
          <cell r="M164">
            <v>1510.57</v>
          </cell>
          <cell r="N164">
            <v>0</v>
          </cell>
          <cell r="O164">
            <v>10065.14</v>
          </cell>
          <cell r="Q164" t="str">
            <v xml:space="preserve">   7.  Home and Community Based Services (HCBS) Total</v>
          </cell>
          <cell r="R164">
            <v>0</v>
          </cell>
          <cell r="S164">
            <v>8554.57</v>
          </cell>
          <cell r="T164">
            <v>0</v>
          </cell>
          <cell r="U164">
            <v>1510.57</v>
          </cell>
          <cell r="V164">
            <v>0</v>
          </cell>
          <cell r="W164">
            <v>10065.14</v>
          </cell>
          <cell r="Y164" t="str">
            <v xml:space="preserve">   7.  Home and Community Based Services (HCBS) Total</v>
          </cell>
          <cell r="Z164">
            <v>0</v>
          </cell>
          <cell r="AA164">
            <v>8554.57</v>
          </cell>
          <cell r="AB164">
            <v>0</v>
          </cell>
          <cell r="AC164">
            <v>1510.57</v>
          </cell>
          <cell r="AD164">
            <v>0</v>
          </cell>
          <cell r="AE164">
            <v>10065.14</v>
          </cell>
        </row>
        <row r="165">
          <cell r="A165" t="str">
            <v xml:space="preserve">       a.  Adult Foster Care</v>
          </cell>
          <cell r="B165">
            <v>161.51</v>
          </cell>
          <cell r="C165">
            <v>161.51</v>
          </cell>
          <cell r="D165">
            <v>26.04</v>
          </cell>
          <cell r="E165">
            <v>26.04</v>
          </cell>
          <cell r="F165">
            <v>187.55</v>
          </cell>
          <cell r="G165">
            <v>187.55</v>
          </cell>
          <cell r="I165" t="str">
            <v xml:space="preserve">       a.  Adult Foster Care</v>
          </cell>
          <cell r="J165">
            <v>0</v>
          </cell>
          <cell r="K165">
            <v>161.51</v>
          </cell>
          <cell r="L165">
            <v>0</v>
          </cell>
          <cell r="M165">
            <v>26.04</v>
          </cell>
          <cell r="N165">
            <v>0</v>
          </cell>
          <cell r="O165">
            <v>187.55</v>
          </cell>
          <cell r="Q165" t="str">
            <v xml:space="preserve">       a.  Adult Foster Care</v>
          </cell>
          <cell r="R165">
            <v>0</v>
          </cell>
          <cell r="S165">
            <v>161.51</v>
          </cell>
          <cell r="T165">
            <v>0</v>
          </cell>
          <cell r="U165">
            <v>26.04</v>
          </cell>
          <cell r="V165">
            <v>0</v>
          </cell>
          <cell r="W165">
            <v>187.55</v>
          </cell>
          <cell r="Y165" t="str">
            <v xml:space="preserve">       a.  Adult Foster Care</v>
          </cell>
          <cell r="Z165">
            <v>0</v>
          </cell>
          <cell r="AA165">
            <v>161.51</v>
          </cell>
          <cell r="AB165">
            <v>0</v>
          </cell>
          <cell r="AC165">
            <v>26.04</v>
          </cell>
          <cell r="AD165">
            <v>0</v>
          </cell>
          <cell r="AE165">
            <v>187.55</v>
          </cell>
        </row>
        <row r="166">
          <cell r="A166" t="str">
            <v xml:space="preserve">       b.  Assisted Living Home (Adult Care Home)</v>
          </cell>
          <cell r="B166">
            <v>1894.61</v>
          </cell>
          <cell r="C166">
            <v>1894.61</v>
          </cell>
          <cell r="D166">
            <v>120.88</v>
          </cell>
          <cell r="E166">
            <v>120.88</v>
          </cell>
          <cell r="F166">
            <v>2015.49</v>
          </cell>
          <cell r="G166">
            <v>2015.49</v>
          </cell>
          <cell r="I166" t="str">
            <v xml:space="preserve">       b.  Assisted Living Home (Adult Care Home)</v>
          </cell>
          <cell r="J166">
            <v>0</v>
          </cell>
          <cell r="K166">
            <v>1894.61</v>
          </cell>
          <cell r="L166">
            <v>0</v>
          </cell>
          <cell r="M166">
            <v>120.88</v>
          </cell>
          <cell r="N166">
            <v>0</v>
          </cell>
          <cell r="O166">
            <v>2015.49</v>
          </cell>
          <cell r="Q166" t="str">
            <v xml:space="preserve">       b.  Assisted Living Home (Adult Care Home)</v>
          </cell>
          <cell r="R166">
            <v>0</v>
          </cell>
          <cell r="S166">
            <v>1894.61</v>
          </cell>
          <cell r="T166">
            <v>0</v>
          </cell>
          <cell r="U166">
            <v>120.88</v>
          </cell>
          <cell r="V166">
            <v>0</v>
          </cell>
          <cell r="W166">
            <v>2015.49</v>
          </cell>
          <cell r="Y166" t="str">
            <v xml:space="preserve">       b.  Assisted Living Home (Adult Care Home)</v>
          </cell>
          <cell r="Z166">
            <v>0</v>
          </cell>
          <cell r="AA166">
            <v>1894.61</v>
          </cell>
          <cell r="AB166">
            <v>0</v>
          </cell>
          <cell r="AC166">
            <v>120.88</v>
          </cell>
          <cell r="AD166">
            <v>0</v>
          </cell>
          <cell r="AE166">
            <v>2015.49</v>
          </cell>
        </row>
        <row r="167">
          <cell r="A167" t="str">
            <v xml:space="preserve">       c.  Group Home (DD)</v>
          </cell>
          <cell r="B167">
            <v>4.0299999999999994</v>
          </cell>
          <cell r="C167">
            <v>4.0299999999999994</v>
          </cell>
          <cell r="D167">
            <v>0</v>
          </cell>
          <cell r="E167">
            <v>0</v>
          </cell>
          <cell r="F167">
            <v>4.0299999999999994</v>
          </cell>
          <cell r="G167">
            <v>4.0299999999999994</v>
          </cell>
          <cell r="I167" t="str">
            <v xml:space="preserve">       c.  Group Home (DD)</v>
          </cell>
          <cell r="J167">
            <v>0</v>
          </cell>
          <cell r="K167">
            <v>4.0299999999999994</v>
          </cell>
          <cell r="L167">
            <v>0</v>
          </cell>
          <cell r="M167">
            <v>0</v>
          </cell>
          <cell r="N167">
            <v>0</v>
          </cell>
          <cell r="O167">
            <v>4.0299999999999994</v>
          </cell>
          <cell r="Q167" t="str">
            <v xml:space="preserve">       c.  Group Home (DD)</v>
          </cell>
          <cell r="R167">
            <v>0</v>
          </cell>
          <cell r="S167">
            <v>4.0299999999999994</v>
          </cell>
          <cell r="T167">
            <v>0</v>
          </cell>
          <cell r="U167">
            <v>0</v>
          </cell>
          <cell r="V167">
            <v>0</v>
          </cell>
          <cell r="W167">
            <v>4.0299999999999994</v>
          </cell>
          <cell r="Y167" t="str">
            <v xml:space="preserve">       c.  Group Home (DD)</v>
          </cell>
          <cell r="Z167">
            <v>0</v>
          </cell>
          <cell r="AA167">
            <v>4.0299999999999994</v>
          </cell>
          <cell r="AB167">
            <v>0</v>
          </cell>
          <cell r="AC167">
            <v>0</v>
          </cell>
          <cell r="AD167">
            <v>0</v>
          </cell>
          <cell r="AE167">
            <v>4.0299999999999994</v>
          </cell>
        </row>
        <row r="168">
          <cell r="A168" t="str">
            <v xml:space="preserve">       d.  Individual Home</v>
          </cell>
          <cell r="B168">
            <v>1965.87</v>
          </cell>
          <cell r="C168">
            <v>1965.87</v>
          </cell>
          <cell r="D168">
            <v>726.05</v>
          </cell>
          <cell r="E168">
            <v>726.05</v>
          </cell>
          <cell r="F168">
            <v>2691.92</v>
          </cell>
          <cell r="G168">
            <v>2691.92</v>
          </cell>
          <cell r="I168" t="str">
            <v xml:space="preserve">       d.  Individual Home</v>
          </cell>
          <cell r="J168">
            <v>0</v>
          </cell>
          <cell r="K168">
            <v>1965.87</v>
          </cell>
          <cell r="L168">
            <v>0</v>
          </cell>
          <cell r="M168">
            <v>726.05</v>
          </cell>
          <cell r="N168">
            <v>0</v>
          </cell>
          <cell r="O168">
            <v>2691.92</v>
          </cell>
          <cell r="Q168" t="str">
            <v xml:space="preserve">       d.  Individual Home</v>
          </cell>
          <cell r="R168">
            <v>0</v>
          </cell>
          <cell r="S168">
            <v>1965.87</v>
          </cell>
          <cell r="T168">
            <v>0</v>
          </cell>
          <cell r="U168">
            <v>726.05</v>
          </cell>
          <cell r="V168">
            <v>0</v>
          </cell>
          <cell r="W168">
            <v>2691.92</v>
          </cell>
          <cell r="Y168" t="str">
            <v xml:space="preserve">       d.  Individual Home</v>
          </cell>
          <cell r="Z168">
            <v>0</v>
          </cell>
          <cell r="AA168">
            <v>1965.87</v>
          </cell>
          <cell r="AB168">
            <v>0</v>
          </cell>
          <cell r="AC168">
            <v>726.05</v>
          </cell>
          <cell r="AD168">
            <v>0</v>
          </cell>
          <cell r="AE168">
            <v>2691.92</v>
          </cell>
        </row>
        <row r="169">
          <cell r="A169" t="str">
            <v xml:space="preserve">       e.  Assisted Living Centers (SRL)</v>
          </cell>
          <cell r="B169">
            <v>2157.25</v>
          </cell>
          <cell r="C169">
            <v>2157.25</v>
          </cell>
          <cell r="D169">
            <v>134.42000000000002</v>
          </cell>
          <cell r="E169">
            <v>134.42000000000002</v>
          </cell>
          <cell r="F169">
            <v>2291.67</v>
          </cell>
          <cell r="G169">
            <v>2291.67</v>
          </cell>
          <cell r="I169" t="str">
            <v xml:space="preserve">       e.  Assisted Living Centers (SRL)</v>
          </cell>
          <cell r="J169">
            <v>0</v>
          </cell>
          <cell r="K169">
            <v>2157.25</v>
          </cell>
          <cell r="L169">
            <v>0</v>
          </cell>
          <cell r="M169">
            <v>134.42000000000002</v>
          </cell>
          <cell r="N169">
            <v>0</v>
          </cell>
          <cell r="O169">
            <v>2291.67</v>
          </cell>
          <cell r="Q169" t="str">
            <v xml:space="preserve">       e.  Assisted Living Centers (SRL)</v>
          </cell>
          <cell r="R169">
            <v>0</v>
          </cell>
          <cell r="S169">
            <v>2157.25</v>
          </cell>
          <cell r="T169">
            <v>0</v>
          </cell>
          <cell r="U169">
            <v>134.42000000000002</v>
          </cell>
          <cell r="V169">
            <v>0</v>
          </cell>
          <cell r="W169">
            <v>2291.67</v>
          </cell>
          <cell r="Y169" t="str">
            <v xml:space="preserve">       e.  Assisted Living Centers (SRL)</v>
          </cell>
          <cell r="Z169">
            <v>0</v>
          </cell>
          <cell r="AA169">
            <v>2157.25</v>
          </cell>
          <cell r="AB169">
            <v>0</v>
          </cell>
          <cell r="AC169">
            <v>134.42000000000002</v>
          </cell>
          <cell r="AD169">
            <v>0</v>
          </cell>
          <cell r="AE169">
            <v>2291.67</v>
          </cell>
        </row>
        <row r="170">
          <cell r="A170" t="str">
            <v xml:space="preserve">       f.  Other (Hospice)</v>
          </cell>
          <cell r="B170">
            <v>287.98</v>
          </cell>
          <cell r="C170">
            <v>287.98</v>
          </cell>
          <cell r="D170">
            <v>6.83</v>
          </cell>
          <cell r="E170">
            <v>6.83</v>
          </cell>
          <cell r="F170">
            <v>294.80999999999995</v>
          </cell>
          <cell r="G170">
            <v>294.80999999999995</v>
          </cell>
          <cell r="I170" t="str">
            <v xml:space="preserve">       f.  Other (Hospice)</v>
          </cell>
          <cell r="J170">
            <v>0</v>
          </cell>
          <cell r="K170">
            <v>287.98</v>
          </cell>
          <cell r="L170">
            <v>0</v>
          </cell>
          <cell r="M170">
            <v>6.83</v>
          </cell>
          <cell r="N170">
            <v>0</v>
          </cell>
          <cell r="O170">
            <v>294.80999999999995</v>
          </cell>
          <cell r="Q170" t="str">
            <v xml:space="preserve">       f.  Other (Hospice)</v>
          </cell>
          <cell r="R170">
            <v>0</v>
          </cell>
          <cell r="S170">
            <v>287.98</v>
          </cell>
          <cell r="T170">
            <v>0</v>
          </cell>
          <cell r="U170">
            <v>6.83</v>
          </cell>
          <cell r="V170">
            <v>0</v>
          </cell>
          <cell r="W170">
            <v>294.80999999999995</v>
          </cell>
          <cell r="Y170" t="str">
            <v xml:space="preserve">       f.  Other (Hospice)</v>
          </cell>
          <cell r="Z170">
            <v>0</v>
          </cell>
          <cell r="AA170">
            <v>287.98</v>
          </cell>
          <cell r="AB170">
            <v>0</v>
          </cell>
          <cell r="AC170">
            <v>6.83</v>
          </cell>
          <cell r="AD170">
            <v>0</v>
          </cell>
          <cell r="AE170">
            <v>294.80999999999995</v>
          </cell>
        </row>
        <row r="171">
          <cell r="A171" t="str">
            <v xml:space="preserve">       g.  Attendant Care</v>
          </cell>
          <cell r="B171">
            <v>2083.3200000000002</v>
          </cell>
          <cell r="C171">
            <v>2083.3200000000002</v>
          </cell>
          <cell r="D171">
            <v>496.35</v>
          </cell>
          <cell r="E171">
            <v>496.35</v>
          </cell>
          <cell r="F171">
            <v>2579.67</v>
          </cell>
          <cell r="G171">
            <v>2579.67</v>
          </cell>
          <cell r="I171" t="str">
            <v xml:space="preserve">       g.  Attendant Care</v>
          </cell>
          <cell r="J171">
            <v>0</v>
          </cell>
          <cell r="K171">
            <v>2083.3200000000002</v>
          </cell>
          <cell r="L171">
            <v>0</v>
          </cell>
          <cell r="M171">
            <v>496.35</v>
          </cell>
          <cell r="N171">
            <v>0</v>
          </cell>
          <cell r="O171">
            <v>2579.67</v>
          </cell>
          <cell r="Q171" t="str">
            <v xml:space="preserve">       g.  Attendant Care</v>
          </cell>
          <cell r="R171">
            <v>0</v>
          </cell>
          <cell r="S171">
            <v>2083.3200000000002</v>
          </cell>
          <cell r="T171">
            <v>0</v>
          </cell>
          <cell r="U171">
            <v>496.35</v>
          </cell>
          <cell r="V171">
            <v>0</v>
          </cell>
          <cell r="W171">
            <v>2579.67</v>
          </cell>
          <cell r="Y171" t="str">
            <v xml:space="preserve">       g.  Attendant Care</v>
          </cell>
          <cell r="Z171">
            <v>0</v>
          </cell>
          <cell r="AA171">
            <v>2083.3200000000002</v>
          </cell>
          <cell r="AB171">
            <v>0</v>
          </cell>
          <cell r="AC171">
            <v>496.35</v>
          </cell>
          <cell r="AD171">
            <v>0</v>
          </cell>
          <cell r="AE171">
            <v>2579.67</v>
          </cell>
        </row>
        <row r="172">
          <cell r="A172" t="str">
            <v xml:space="preserve">   8.  Acute Care</v>
          </cell>
          <cell r="B172">
            <v>114.88</v>
          </cell>
          <cell r="C172">
            <v>114.88</v>
          </cell>
          <cell r="D172">
            <v>85.009999999999991</v>
          </cell>
          <cell r="E172">
            <v>85.009999999999991</v>
          </cell>
          <cell r="F172">
            <v>199.89</v>
          </cell>
          <cell r="G172">
            <v>199.89</v>
          </cell>
          <cell r="I172" t="str">
            <v xml:space="preserve">   8.  Acute Care</v>
          </cell>
          <cell r="J172">
            <v>0</v>
          </cell>
          <cell r="K172">
            <v>114.88</v>
          </cell>
          <cell r="L172">
            <v>0</v>
          </cell>
          <cell r="M172">
            <v>85.009999999999991</v>
          </cell>
          <cell r="N172">
            <v>0</v>
          </cell>
          <cell r="O172">
            <v>199.89</v>
          </cell>
          <cell r="Q172" t="str">
            <v xml:space="preserve">   8.  Acute Care</v>
          </cell>
          <cell r="R172">
            <v>0</v>
          </cell>
          <cell r="S172">
            <v>114.88</v>
          </cell>
          <cell r="T172">
            <v>0</v>
          </cell>
          <cell r="U172">
            <v>85.009999999999991</v>
          </cell>
          <cell r="V172">
            <v>0</v>
          </cell>
          <cell r="W172">
            <v>199.89</v>
          </cell>
          <cell r="Y172" t="str">
            <v xml:space="preserve">   8.  Acute Care</v>
          </cell>
          <cell r="Z172">
            <v>0</v>
          </cell>
          <cell r="AA172">
            <v>114.88</v>
          </cell>
          <cell r="AB172">
            <v>0</v>
          </cell>
          <cell r="AC172">
            <v>85.009999999999991</v>
          </cell>
          <cell r="AD172">
            <v>0</v>
          </cell>
          <cell r="AE172">
            <v>199.89</v>
          </cell>
        </row>
        <row r="173">
          <cell r="A173" t="str">
            <v xml:space="preserve">   9.  Ventilator</v>
          </cell>
          <cell r="B173">
            <v>64.25</v>
          </cell>
          <cell r="C173">
            <v>64.25</v>
          </cell>
          <cell r="D173">
            <v>56.510000000000005</v>
          </cell>
          <cell r="E173">
            <v>56.510000000000005</v>
          </cell>
          <cell r="F173">
            <v>120.75999999999999</v>
          </cell>
          <cell r="G173">
            <v>120.75999999999999</v>
          </cell>
          <cell r="I173" t="str">
            <v xml:space="preserve">   9.  Ventilator</v>
          </cell>
          <cell r="J173">
            <v>0</v>
          </cell>
          <cell r="K173">
            <v>64.25</v>
          </cell>
          <cell r="L173">
            <v>0</v>
          </cell>
          <cell r="M173">
            <v>56.510000000000005</v>
          </cell>
          <cell r="N173">
            <v>0</v>
          </cell>
          <cell r="O173">
            <v>120.75999999999999</v>
          </cell>
          <cell r="Q173" t="str">
            <v xml:space="preserve">   9.  Ventilator</v>
          </cell>
          <cell r="R173">
            <v>0</v>
          </cell>
          <cell r="S173">
            <v>64.25</v>
          </cell>
          <cell r="T173">
            <v>0</v>
          </cell>
          <cell r="U173">
            <v>56.510000000000005</v>
          </cell>
          <cell r="V173">
            <v>0</v>
          </cell>
          <cell r="W173">
            <v>120.75999999999999</v>
          </cell>
          <cell r="Y173" t="str">
            <v xml:space="preserve">   9.  Ventilator</v>
          </cell>
          <cell r="Z173">
            <v>0</v>
          </cell>
          <cell r="AA173">
            <v>64.25</v>
          </cell>
          <cell r="AB173">
            <v>0</v>
          </cell>
          <cell r="AC173">
            <v>56.510000000000005</v>
          </cell>
          <cell r="AD173">
            <v>0</v>
          </cell>
          <cell r="AE173">
            <v>120.75999999999999</v>
          </cell>
        </row>
        <row r="174">
          <cell r="A174" t="str">
            <v xml:space="preserve">  10.  Prior Period</v>
          </cell>
          <cell r="B174">
            <v>506.45180000000005</v>
          </cell>
          <cell r="C174">
            <v>506.45180000000005</v>
          </cell>
          <cell r="D174">
            <v>36.459099999999999</v>
          </cell>
          <cell r="E174">
            <v>36.459099999999999</v>
          </cell>
          <cell r="F174">
            <v>542.91090000000008</v>
          </cell>
          <cell r="G174">
            <v>542.91090000000008</v>
          </cell>
          <cell r="I174" t="str">
            <v xml:space="preserve">  10.  Prior Period</v>
          </cell>
          <cell r="J174">
            <v>0</v>
          </cell>
          <cell r="K174">
            <v>506.45180000000005</v>
          </cell>
          <cell r="L174">
            <v>0</v>
          </cell>
          <cell r="M174">
            <v>36.459099999999999</v>
          </cell>
          <cell r="N174">
            <v>0</v>
          </cell>
          <cell r="O174">
            <v>542.91090000000008</v>
          </cell>
          <cell r="Q174" t="str">
            <v xml:space="preserve">  10.  Prior Period</v>
          </cell>
          <cell r="R174">
            <v>0</v>
          </cell>
          <cell r="S174">
            <v>506.45180000000005</v>
          </cell>
          <cell r="T174">
            <v>0</v>
          </cell>
          <cell r="U174">
            <v>36.459099999999999</v>
          </cell>
          <cell r="V174">
            <v>0</v>
          </cell>
          <cell r="W174">
            <v>542.91090000000008</v>
          </cell>
          <cell r="Y174" t="str">
            <v xml:space="preserve">  10.  Prior Period</v>
          </cell>
          <cell r="Z174">
            <v>0</v>
          </cell>
          <cell r="AA174">
            <v>506.45180000000005</v>
          </cell>
          <cell r="AB174">
            <v>0</v>
          </cell>
          <cell r="AC174">
            <v>36.459099999999999</v>
          </cell>
          <cell r="AD174">
            <v>0</v>
          </cell>
          <cell r="AE174">
            <v>542.91090000000008</v>
          </cell>
        </row>
        <row r="175">
          <cell r="A175" t="str">
            <v xml:space="preserve">  11.  Other - Not Placed</v>
          </cell>
          <cell r="B175">
            <v>-1251.3499999999979</v>
          </cell>
          <cell r="C175">
            <v>-1251.3499999999979</v>
          </cell>
          <cell r="D175">
            <v>-184.51999999999998</v>
          </cell>
          <cell r="E175">
            <v>-184.51999999999998</v>
          </cell>
          <cell r="F175">
            <v>-1435.8699999999981</v>
          </cell>
          <cell r="G175">
            <v>-1435.8699999999981</v>
          </cell>
          <cell r="I175" t="str">
            <v xml:space="preserve">  11.  Other - Not Placed</v>
          </cell>
          <cell r="J175">
            <v>0</v>
          </cell>
          <cell r="K175">
            <v>-1251.3499999999979</v>
          </cell>
          <cell r="L175">
            <v>0</v>
          </cell>
          <cell r="M175">
            <v>-184.51999999999998</v>
          </cell>
          <cell r="N175">
            <v>0</v>
          </cell>
          <cell r="O175">
            <v>-1435.8699999999981</v>
          </cell>
          <cell r="Q175" t="str">
            <v xml:space="preserve">  11.  Other - Not Placed</v>
          </cell>
          <cell r="R175">
            <v>0</v>
          </cell>
          <cell r="S175">
            <v>-1251.3499999999979</v>
          </cell>
          <cell r="T175">
            <v>0</v>
          </cell>
          <cell r="U175">
            <v>-184.51999999999998</v>
          </cell>
          <cell r="V175">
            <v>0</v>
          </cell>
          <cell r="W175">
            <v>-1435.8699999999981</v>
          </cell>
          <cell r="Y175" t="str">
            <v xml:space="preserve">  11.  Other - Not Placed</v>
          </cell>
          <cell r="Z175">
            <v>0</v>
          </cell>
          <cell r="AA175">
            <v>-1251.3499999999979</v>
          </cell>
          <cell r="AB175">
            <v>0</v>
          </cell>
          <cell r="AC175">
            <v>-184.51999999999998</v>
          </cell>
          <cell r="AD175">
            <v>0</v>
          </cell>
          <cell r="AE175">
            <v>-1435.8699999999981</v>
          </cell>
        </row>
        <row r="177">
          <cell r="A177" t="str">
            <v>C.   Acute Patient Day Information</v>
          </cell>
          <cell r="I177" t="str">
            <v>C.   Acute Patient Day Information</v>
          </cell>
          <cell r="Q177" t="str">
            <v>C.   Acute Patient Day Information</v>
          </cell>
          <cell r="Y177" t="str">
            <v>C.   Acute Patient Day Information</v>
          </cell>
        </row>
        <row r="178">
          <cell r="A178" t="str">
            <v xml:space="preserve">       a.  Admissions</v>
          </cell>
          <cell r="B178">
            <v>789</v>
          </cell>
          <cell r="C178">
            <v>789</v>
          </cell>
          <cell r="D178">
            <v>142</v>
          </cell>
          <cell r="E178">
            <v>142</v>
          </cell>
          <cell r="F178">
            <v>931</v>
          </cell>
          <cell r="G178">
            <v>931</v>
          </cell>
          <cell r="I178" t="str">
            <v xml:space="preserve">       a.  Admissions</v>
          </cell>
          <cell r="J178">
            <v>0</v>
          </cell>
          <cell r="K178">
            <v>789</v>
          </cell>
          <cell r="L178">
            <v>0</v>
          </cell>
          <cell r="M178">
            <v>142</v>
          </cell>
          <cell r="N178">
            <v>0</v>
          </cell>
          <cell r="O178">
            <v>931</v>
          </cell>
          <cell r="Q178" t="str">
            <v xml:space="preserve">       a.  Admissions</v>
          </cell>
          <cell r="R178">
            <v>0</v>
          </cell>
          <cell r="S178">
            <v>789</v>
          </cell>
          <cell r="T178">
            <v>0</v>
          </cell>
          <cell r="U178">
            <v>142</v>
          </cell>
          <cell r="V178">
            <v>0</v>
          </cell>
          <cell r="W178">
            <v>931</v>
          </cell>
          <cell r="Y178" t="str">
            <v xml:space="preserve">       a.  Admissions</v>
          </cell>
          <cell r="Z178">
            <v>0</v>
          </cell>
          <cell r="AA178">
            <v>789</v>
          </cell>
          <cell r="AB178">
            <v>0</v>
          </cell>
          <cell r="AC178">
            <v>142</v>
          </cell>
          <cell r="AD178">
            <v>0</v>
          </cell>
          <cell r="AE178">
            <v>931</v>
          </cell>
        </row>
        <row r="179">
          <cell r="A179" t="str">
            <v xml:space="preserve">       b.  Patient Days</v>
          </cell>
          <cell r="B179">
            <v>4179</v>
          </cell>
          <cell r="C179">
            <v>4179</v>
          </cell>
          <cell r="D179">
            <v>826</v>
          </cell>
          <cell r="E179">
            <v>826</v>
          </cell>
          <cell r="F179">
            <v>5005</v>
          </cell>
          <cell r="G179">
            <v>5005</v>
          </cell>
          <cell r="I179" t="str">
            <v xml:space="preserve">       b.  Patient Days</v>
          </cell>
          <cell r="J179">
            <v>0</v>
          </cell>
          <cell r="K179">
            <v>4179</v>
          </cell>
          <cell r="L179">
            <v>0</v>
          </cell>
          <cell r="M179">
            <v>826</v>
          </cell>
          <cell r="N179">
            <v>0</v>
          </cell>
          <cell r="O179">
            <v>5005</v>
          </cell>
          <cell r="Q179" t="str">
            <v xml:space="preserve">       b.  Patient Days</v>
          </cell>
          <cell r="R179">
            <v>0</v>
          </cell>
          <cell r="S179">
            <v>4179</v>
          </cell>
          <cell r="T179">
            <v>0</v>
          </cell>
          <cell r="U179">
            <v>826</v>
          </cell>
          <cell r="V179">
            <v>0</v>
          </cell>
          <cell r="W179">
            <v>5005</v>
          </cell>
          <cell r="Y179" t="str">
            <v xml:space="preserve">       b.  Patient Days</v>
          </cell>
          <cell r="Z179">
            <v>0</v>
          </cell>
          <cell r="AA179">
            <v>4179</v>
          </cell>
          <cell r="AB179">
            <v>0</v>
          </cell>
          <cell r="AC179">
            <v>826</v>
          </cell>
          <cell r="AD179">
            <v>0</v>
          </cell>
          <cell r="AE179">
            <v>5005</v>
          </cell>
        </row>
        <row r="180">
          <cell r="A180" t="str">
            <v xml:space="preserve">       c.  Discharges</v>
          </cell>
          <cell r="B180">
            <v>749</v>
          </cell>
          <cell r="C180">
            <v>749</v>
          </cell>
          <cell r="D180">
            <v>136</v>
          </cell>
          <cell r="E180">
            <v>136</v>
          </cell>
          <cell r="F180">
            <v>885</v>
          </cell>
          <cell r="G180">
            <v>885</v>
          </cell>
          <cell r="I180" t="str">
            <v xml:space="preserve">       c.  Discharges</v>
          </cell>
          <cell r="J180">
            <v>0</v>
          </cell>
          <cell r="K180">
            <v>749</v>
          </cell>
          <cell r="L180">
            <v>0</v>
          </cell>
          <cell r="M180">
            <v>136</v>
          </cell>
          <cell r="N180">
            <v>0</v>
          </cell>
          <cell r="O180">
            <v>885</v>
          </cell>
          <cell r="Q180" t="str">
            <v xml:space="preserve">       c.  Discharges</v>
          </cell>
          <cell r="R180">
            <v>0</v>
          </cell>
          <cell r="S180">
            <v>749</v>
          </cell>
          <cell r="T180">
            <v>0</v>
          </cell>
          <cell r="U180">
            <v>136</v>
          </cell>
          <cell r="V180">
            <v>0</v>
          </cell>
          <cell r="W180">
            <v>885</v>
          </cell>
          <cell r="Y180" t="str">
            <v xml:space="preserve">       c.  Discharges</v>
          </cell>
          <cell r="Z180">
            <v>0</v>
          </cell>
          <cell r="AA180">
            <v>749</v>
          </cell>
          <cell r="AB180">
            <v>0</v>
          </cell>
          <cell r="AC180">
            <v>136</v>
          </cell>
          <cell r="AD180">
            <v>0</v>
          </cell>
          <cell r="AE180">
            <v>885</v>
          </cell>
        </row>
        <row r="181">
          <cell r="A181" t="str">
            <v xml:space="preserve">       d.  Discharge Days</v>
          </cell>
          <cell r="B181">
            <v>3294</v>
          </cell>
          <cell r="C181">
            <v>3294</v>
          </cell>
          <cell r="D181">
            <v>668</v>
          </cell>
          <cell r="E181">
            <v>668</v>
          </cell>
          <cell r="F181">
            <v>3962</v>
          </cell>
          <cell r="G181">
            <v>3962</v>
          </cell>
          <cell r="I181" t="str">
            <v xml:space="preserve">       d.  Discharge Days</v>
          </cell>
          <cell r="J181">
            <v>0</v>
          </cell>
          <cell r="K181">
            <v>3294</v>
          </cell>
          <cell r="L181">
            <v>0</v>
          </cell>
          <cell r="M181">
            <v>668</v>
          </cell>
          <cell r="N181">
            <v>0</v>
          </cell>
          <cell r="O181">
            <v>3962</v>
          </cell>
          <cell r="Q181" t="str">
            <v xml:space="preserve">       d.  Discharge Days</v>
          </cell>
          <cell r="R181">
            <v>0</v>
          </cell>
          <cell r="S181">
            <v>3294</v>
          </cell>
          <cell r="T181">
            <v>0</v>
          </cell>
          <cell r="U181">
            <v>668</v>
          </cell>
          <cell r="V181">
            <v>0</v>
          </cell>
          <cell r="W181">
            <v>3962</v>
          </cell>
          <cell r="Y181" t="str">
            <v xml:space="preserve">       d.  Discharge Days</v>
          </cell>
          <cell r="Z181">
            <v>0</v>
          </cell>
          <cell r="AA181">
            <v>3294</v>
          </cell>
          <cell r="AB181">
            <v>0</v>
          </cell>
          <cell r="AC181">
            <v>668</v>
          </cell>
          <cell r="AD181">
            <v>0</v>
          </cell>
          <cell r="AE181">
            <v>3962</v>
          </cell>
        </row>
        <row r="182">
          <cell r="A182" t="str">
            <v xml:space="preserve">       e.  Average Length of Stay</v>
          </cell>
          <cell r="B182">
            <v>4.3978638184245664</v>
          </cell>
          <cell r="C182">
            <v>4.3978638184245664</v>
          </cell>
          <cell r="D182">
            <v>4.9117647058823533</v>
          </cell>
          <cell r="E182">
            <v>4.9117647058823533</v>
          </cell>
          <cell r="F182">
            <v>4.4768361581920901</v>
          </cell>
          <cell r="G182">
            <v>4.4768361581920901</v>
          </cell>
          <cell r="I182" t="str">
            <v xml:space="preserve">       e.  Average Length of Stay</v>
          </cell>
          <cell r="J182">
            <v>0</v>
          </cell>
          <cell r="K182">
            <v>4.3978638184245664</v>
          </cell>
          <cell r="L182">
            <v>0</v>
          </cell>
          <cell r="M182">
            <v>4.9117647058823533</v>
          </cell>
          <cell r="N182">
            <v>0</v>
          </cell>
          <cell r="O182">
            <v>4.4768361581920901</v>
          </cell>
          <cell r="Q182" t="str">
            <v xml:space="preserve">       e.  Average Length of Stay</v>
          </cell>
          <cell r="R182">
            <v>0</v>
          </cell>
          <cell r="S182">
            <v>4.3978638184245664</v>
          </cell>
          <cell r="T182">
            <v>0</v>
          </cell>
          <cell r="U182">
            <v>4.9117647058823533</v>
          </cell>
          <cell r="V182">
            <v>0</v>
          </cell>
          <cell r="W182">
            <v>4.4768361581920901</v>
          </cell>
          <cell r="Y182" t="str">
            <v xml:space="preserve">       e.  Average Length of Stay</v>
          </cell>
          <cell r="Z182">
            <v>0</v>
          </cell>
          <cell r="AA182">
            <v>4.3978638184245664</v>
          </cell>
          <cell r="AB182">
            <v>0</v>
          </cell>
          <cell r="AC182">
            <v>4.9117647058823533</v>
          </cell>
          <cell r="AD182">
            <v>0</v>
          </cell>
          <cell r="AE182">
            <v>4.4768361581920901</v>
          </cell>
        </row>
        <row r="184">
          <cell r="A184" t="str">
            <v>D.   Emergency Room Visits</v>
          </cell>
          <cell r="B184">
            <v>247</v>
          </cell>
          <cell r="C184">
            <v>247</v>
          </cell>
          <cell r="D184">
            <v>131</v>
          </cell>
          <cell r="E184">
            <v>131</v>
          </cell>
          <cell r="F184">
            <v>378</v>
          </cell>
          <cell r="G184">
            <v>378</v>
          </cell>
          <cell r="I184" t="str">
            <v>D.   Emergency Room Visits</v>
          </cell>
          <cell r="J184">
            <v>0</v>
          </cell>
          <cell r="K184">
            <v>247</v>
          </cell>
          <cell r="L184">
            <v>0</v>
          </cell>
          <cell r="M184">
            <v>131</v>
          </cell>
          <cell r="N184">
            <v>0</v>
          </cell>
          <cell r="O184">
            <v>378</v>
          </cell>
          <cell r="Q184" t="str">
            <v>D.   Emergency Room Visits</v>
          </cell>
          <cell r="R184">
            <v>0</v>
          </cell>
          <cell r="S184">
            <v>247</v>
          </cell>
          <cell r="T184">
            <v>0</v>
          </cell>
          <cell r="U184">
            <v>131</v>
          </cell>
          <cell r="V184">
            <v>0</v>
          </cell>
          <cell r="W184">
            <v>378</v>
          </cell>
          <cell r="Y184" t="str">
            <v>D.   Emergency Room Visits</v>
          </cell>
          <cell r="Z184">
            <v>0</v>
          </cell>
          <cell r="AA184">
            <v>247</v>
          </cell>
          <cell r="AB184">
            <v>0</v>
          </cell>
          <cell r="AC184">
            <v>131</v>
          </cell>
          <cell r="AD184">
            <v>0</v>
          </cell>
          <cell r="AE184">
            <v>378</v>
          </cell>
        </row>
        <row r="188">
          <cell r="A188" t="str">
            <v>Program Contractor Financial Reporting Systems - Report #11C Utilization Data Report Consolidated by County</v>
          </cell>
          <cell r="I188" t="str">
            <v>Program Contractor Financial Reporting Systems - Report #11C Utilization Data Report Consolidated by County</v>
          </cell>
          <cell r="Q188" t="str">
            <v>Program Contractor Financial Reporting Systems - Report #11C Utilization Data Report Consolidated by County</v>
          </cell>
          <cell r="Y188" t="str">
            <v>Program Contractor Financial Reporting Systems - Report #11C Utilization Data Report Consolidated by County</v>
          </cell>
        </row>
        <row r="190">
          <cell r="A190" t="str">
            <v>Statement for Program Contractor 110049 - Evercare of Arizona, Inc.</v>
          </cell>
          <cell r="F190" t="str">
            <v>County:</v>
          </cell>
          <cell r="G190" t="str">
            <v>Mohave</v>
          </cell>
          <cell r="I190" t="str">
            <v>Statement for Program Contractor 110049 - Evercare of Arizona, Inc.</v>
          </cell>
          <cell r="N190" t="str">
            <v>County:</v>
          </cell>
          <cell r="O190" t="str">
            <v>Mohave</v>
          </cell>
          <cell r="Q190" t="str">
            <v>Statement for Program Contractor 110049 - Evercare of Arizona, Inc.</v>
          </cell>
          <cell r="V190" t="str">
            <v>County:</v>
          </cell>
          <cell r="W190" t="str">
            <v>Mohave</v>
          </cell>
          <cell r="Y190" t="str">
            <v>Statement for Program Contractor 110049 - Evercare of Arizona, Inc.</v>
          </cell>
          <cell r="AD190" t="str">
            <v>County:</v>
          </cell>
          <cell r="AE190" t="str">
            <v>Mohave</v>
          </cell>
        </row>
        <row r="192">
          <cell r="A192" t="str">
            <v>For the Quarter ending 12/31/2005 in the Fiscal Year ending 9/30/2006</v>
          </cell>
          <cell r="F192" t="str">
            <v>Page 5 of 8</v>
          </cell>
          <cell r="I192" t="str">
            <v>For the Quarter ending 3/31/2006 in the Fiscal Year ending 9/30/2006</v>
          </cell>
          <cell r="N192" t="str">
            <v>Page 5 of 8</v>
          </cell>
          <cell r="Q192" t="str">
            <v>For the Quarter ending 6/30/2006 in the Fiscal Year ending 9/30/2006</v>
          </cell>
          <cell r="V192" t="str">
            <v>Page 5 of 8</v>
          </cell>
          <cell r="Y192" t="str">
            <v>For the Quarter ending 9/30/2006 in the Fiscal Year ending 9/30/2006</v>
          </cell>
          <cell r="AD192" t="str">
            <v>Page 5 of 8</v>
          </cell>
        </row>
        <row r="195">
          <cell r="A195" t="str">
            <v>Utilization Data Report by County</v>
          </cell>
          <cell r="I195" t="str">
            <v>Utilization Data Report by County</v>
          </cell>
          <cell r="Q195" t="str">
            <v>Utilization Data Report by County</v>
          </cell>
          <cell r="Y195" t="str">
            <v>Utilization Data Report by County</v>
          </cell>
        </row>
        <row r="197">
          <cell r="B197" t="str">
            <v>MEDICARE</v>
          </cell>
          <cell r="D197" t="str">
            <v>NON-MEDICARE</v>
          </cell>
          <cell r="F197" t="str">
            <v>TOTAL</v>
          </cell>
          <cell r="J197" t="str">
            <v>MEDICARE</v>
          </cell>
          <cell r="L197" t="str">
            <v>NON-MEDICARE</v>
          </cell>
          <cell r="N197" t="str">
            <v>TOTAL</v>
          </cell>
          <cell r="R197" t="str">
            <v>MEDICARE</v>
          </cell>
          <cell r="T197" t="str">
            <v>NON-MEDICARE</v>
          </cell>
          <cell r="V197" t="str">
            <v>TOTAL</v>
          </cell>
          <cell r="Z197" t="str">
            <v>MEDICARE</v>
          </cell>
          <cell r="AB197" t="str">
            <v>NON-MEDICARE</v>
          </cell>
          <cell r="AD197" t="str">
            <v>TOTAL</v>
          </cell>
        </row>
        <row r="198">
          <cell r="A198" t="str">
            <v>ITEM DESCRIPTION</v>
          </cell>
          <cell r="B198" t="str">
            <v>Current</v>
          </cell>
          <cell r="D198" t="str">
            <v>Current</v>
          </cell>
          <cell r="F198" t="str">
            <v>Current</v>
          </cell>
          <cell r="I198" t="str">
            <v>ITEM DESCRIPTION</v>
          </cell>
          <cell r="J198" t="str">
            <v>Current</v>
          </cell>
          <cell r="L198" t="str">
            <v>Current</v>
          </cell>
          <cell r="N198" t="str">
            <v>Current</v>
          </cell>
          <cell r="Q198" t="str">
            <v>ITEM DESCRIPTION</v>
          </cell>
          <cell r="R198" t="str">
            <v>Current</v>
          </cell>
          <cell r="T198" t="str">
            <v>Current</v>
          </cell>
          <cell r="V198" t="str">
            <v>Current</v>
          </cell>
          <cell r="Y198" t="str">
            <v>ITEM DESCRIPTION</v>
          </cell>
          <cell r="Z198" t="str">
            <v>Current</v>
          </cell>
          <cell r="AB198" t="str">
            <v>Current</v>
          </cell>
          <cell r="AD198" t="str">
            <v>Current</v>
          </cell>
        </row>
        <row r="199">
          <cell r="B199" t="str">
            <v>Period</v>
          </cell>
          <cell r="C199" t="str">
            <v>YTD</v>
          </cell>
          <cell r="D199" t="str">
            <v>Period</v>
          </cell>
          <cell r="E199" t="str">
            <v>YTD</v>
          </cell>
          <cell r="F199" t="str">
            <v>Period</v>
          </cell>
          <cell r="G199" t="str">
            <v>YTD</v>
          </cell>
          <cell r="J199" t="str">
            <v>Period</v>
          </cell>
          <cell r="K199" t="str">
            <v>YTD</v>
          </cell>
          <cell r="L199" t="str">
            <v>Period</v>
          </cell>
          <cell r="M199" t="str">
            <v>YTD</v>
          </cell>
          <cell r="N199" t="str">
            <v>Period</v>
          </cell>
          <cell r="O199" t="str">
            <v>YTD</v>
          </cell>
          <cell r="R199" t="str">
            <v>Period</v>
          </cell>
          <cell r="S199" t="str">
            <v>YTD</v>
          </cell>
          <cell r="T199" t="str">
            <v>Period</v>
          </cell>
          <cell r="U199" t="str">
            <v>YTD</v>
          </cell>
          <cell r="V199" t="str">
            <v>Period</v>
          </cell>
          <cell r="W199" t="str">
            <v>YTD</v>
          </cell>
          <cell r="Z199" t="str">
            <v>Period</v>
          </cell>
          <cell r="AA199" t="str">
            <v>YTD</v>
          </cell>
          <cell r="AB199" t="str">
            <v>Period</v>
          </cell>
          <cell r="AC199" t="str">
            <v>YTD</v>
          </cell>
          <cell r="AD199" t="str">
            <v>Period</v>
          </cell>
          <cell r="AE199" t="str">
            <v>YTD</v>
          </cell>
        </row>
        <row r="200">
          <cell r="A200" t="str">
            <v>A.   Enrollees (At End of Period)</v>
          </cell>
          <cell r="B200">
            <v>712</v>
          </cell>
          <cell r="D200">
            <v>101</v>
          </cell>
          <cell r="F200">
            <v>813</v>
          </cell>
          <cell r="I200" t="str">
            <v>A.   Enrollees (At End of Period)</v>
          </cell>
          <cell r="J200">
            <v>0</v>
          </cell>
          <cell r="L200">
            <v>0</v>
          </cell>
          <cell r="N200">
            <v>0</v>
          </cell>
          <cell r="Q200" t="str">
            <v>A.   Enrollees (At End of Period)</v>
          </cell>
          <cell r="R200">
            <v>0</v>
          </cell>
          <cell r="T200">
            <v>0</v>
          </cell>
          <cell r="V200">
            <v>0</v>
          </cell>
          <cell r="Y200" t="str">
            <v>A.   Enrollees (At End of Period)</v>
          </cell>
          <cell r="Z200">
            <v>0</v>
          </cell>
          <cell r="AB200">
            <v>0</v>
          </cell>
          <cell r="AD200">
            <v>0</v>
          </cell>
        </row>
        <row r="202">
          <cell r="A202" t="str">
            <v>B.   Member Months (Unduplicated)</v>
          </cell>
          <cell r="B202">
            <v>2465.0030999999999</v>
          </cell>
          <cell r="C202">
            <v>2465.0030999999999</v>
          </cell>
          <cell r="D202">
            <v>338.37329999999997</v>
          </cell>
          <cell r="E202">
            <v>338.37329999999997</v>
          </cell>
          <cell r="F202">
            <v>2803.3764000000001</v>
          </cell>
          <cell r="G202">
            <v>2803.3764000000001</v>
          </cell>
          <cell r="I202" t="str">
            <v>B.   Member Months (Unduplicated)</v>
          </cell>
          <cell r="J202">
            <v>0</v>
          </cell>
          <cell r="K202">
            <v>2465.0030999999999</v>
          </cell>
          <cell r="L202">
            <v>0</v>
          </cell>
          <cell r="M202">
            <v>338.37329999999997</v>
          </cell>
          <cell r="N202">
            <v>0</v>
          </cell>
          <cell r="O202">
            <v>2803.3764000000001</v>
          </cell>
          <cell r="Q202" t="str">
            <v>B.   Member Months (Unduplicated)</v>
          </cell>
          <cell r="R202">
            <v>0</v>
          </cell>
          <cell r="S202">
            <v>2465.0030999999999</v>
          </cell>
          <cell r="T202">
            <v>0</v>
          </cell>
          <cell r="U202">
            <v>338.37329999999997</v>
          </cell>
          <cell r="V202">
            <v>0</v>
          </cell>
          <cell r="W202">
            <v>2803.3764000000001</v>
          </cell>
          <cell r="Y202" t="str">
            <v>B.   Member Months (Unduplicated)</v>
          </cell>
          <cell r="Z202">
            <v>0</v>
          </cell>
          <cell r="AA202">
            <v>2465.0030999999999</v>
          </cell>
          <cell r="AB202">
            <v>0</v>
          </cell>
          <cell r="AC202">
            <v>338.37329999999997</v>
          </cell>
          <cell r="AD202">
            <v>0</v>
          </cell>
          <cell r="AE202">
            <v>2803.3764000000001</v>
          </cell>
        </row>
        <row r="203">
          <cell r="A203" t="str">
            <v xml:space="preserve">   Institutional Member Months Total</v>
          </cell>
          <cell r="B203">
            <v>1342.8</v>
          </cell>
          <cell r="C203">
            <v>1342.8</v>
          </cell>
          <cell r="D203">
            <v>92.29</v>
          </cell>
          <cell r="E203">
            <v>92.29</v>
          </cell>
          <cell r="F203">
            <v>1435.0900000000001</v>
          </cell>
          <cell r="G203">
            <v>1435.0900000000001</v>
          </cell>
          <cell r="I203" t="str">
            <v xml:space="preserve">   Institutional Member Months Total</v>
          </cell>
          <cell r="J203">
            <v>0</v>
          </cell>
          <cell r="K203">
            <v>1342.8</v>
          </cell>
          <cell r="L203">
            <v>0</v>
          </cell>
          <cell r="M203">
            <v>92.29</v>
          </cell>
          <cell r="N203">
            <v>0</v>
          </cell>
          <cell r="O203">
            <v>1435.0900000000001</v>
          </cell>
          <cell r="Q203" t="str">
            <v xml:space="preserve">   Institutional Member Months Total</v>
          </cell>
          <cell r="R203">
            <v>0</v>
          </cell>
          <cell r="S203">
            <v>1342.8</v>
          </cell>
          <cell r="T203">
            <v>0</v>
          </cell>
          <cell r="U203">
            <v>92.29</v>
          </cell>
          <cell r="V203">
            <v>0</v>
          </cell>
          <cell r="W203">
            <v>1435.0900000000001</v>
          </cell>
          <cell r="Y203" t="str">
            <v xml:space="preserve">   Institutional Member Months Total</v>
          </cell>
          <cell r="Z203">
            <v>0</v>
          </cell>
          <cell r="AA203">
            <v>1342.8</v>
          </cell>
          <cell r="AB203">
            <v>0</v>
          </cell>
          <cell r="AC203">
            <v>92.29</v>
          </cell>
          <cell r="AD203">
            <v>0</v>
          </cell>
          <cell r="AE203">
            <v>1435.0900000000001</v>
          </cell>
        </row>
        <row r="204">
          <cell r="A204" t="str">
            <v xml:space="preserve">   1.  Level I</v>
          </cell>
          <cell r="B204">
            <v>607.04999999999995</v>
          </cell>
          <cell r="C204">
            <v>607.04999999999995</v>
          </cell>
          <cell r="D204">
            <v>46.1</v>
          </cell>
          <cell r="E204">
            <v>46.1</v>
          </cell>
          <cell r="F204">
            <v>653.15</v>
          </cell>
          <cell r="G204">
            <v>653.15</v>
          </cell>
          <cell r="I204" t="str">
            <v xml:space="preserve">   1.  Level I</v>
          </cell>
          <cell r="J204">
            <v>0</v>
          </cell>
          <cell r="K204">
            <v>607.04999999999995</v>
          </cell>
          <cell r="L204">
            <v>0</v>
          </cell>
          <cell r="M204">
            <v>46.1</v>
          </cell>
          <cell r="N204">
            <v>0</v>
          </cell>
          <cell r="O204">
            <v>653.15</v>
          </cell>
          <cell r="Q204" t="str">
            <v xml:space="preserve">   1.  Level I</v>
          </cell>
          <cell r="R204">
            <v>0</v>
          </cell>
          <cell r="S204">
            <v>607.04999999999995</v>
          </cell>
          <cell r="T204">
            <v>0</v>
          </cell>
          <cell r="U204">
            <v>46.1</v>
          </cell>
          <cell r="V204">
            <v>0</v>
          </cell>
          <cell r="W204">
            <v>653.15</v>
          </cell>
          <cell r="Y204" t="str">
            <v xml:space="preserve">   1.  Level I</v>
          </cell>
          <cell r="Z204">
            <v>0</v>
          </cell>
          <cell r="AA204">
            <v>607.04999999999995</v>
          </cell>
          <cell r="AB204">
            <v>0</v>
          </cell>
          <cell r="AC204">
            <v>46.1</v>
          </cell>
          <cell r="AD204">
            <v>0</v>
          </cell>
          <cell r="AE204">
            <v>653.15</v>
          </cell>
        </row>
        <row r="205">
          <cell r="A205" t="str">
            <v xml:space="preserve">   2.  Level II</v>
          </cell>
          <cell r="B205">
            <v>602.55999999999995</v>
          </cell>
          <cell r="C205">
            <v>602.55999999999995</v>
          </cell>
          <cell r="D205">
            <v>28.279999999999998</v>
          </cell>
          <cell r="E205">
            <v>28.279999999999998</v>
          </cell>
          <cell r="F205">
            <v>630.83999999999992</v>
          </cell>
          <cell r="G205">
            <v>630.83999999999992</v>
          </cell>
          <cell r="I205" t="str">
            <v xml:space="preserve">   2.  Level II</v>
          </cell>
          <cell r="J205">
            <v>0</v>
          </cell>
          <cell r="K205">
            <v>602.55999999999995</v>
          </cell>
          <cell r="L205">
            <v>0</v>
          </cell>
          <cell r="M205">
            <v>28.279999999999998</v>
          </cell>
          <cell r="N205">
            <v>0</v>
          </cell>
          <cell r="O205">
            <v>630.83999999999992</v>
          </cell>
          <cell r="Q205" t="str">
            <v xml:space="preserve">   2.  Level II</v>
          </cell>
          <cell r="R205">
            <v>0</v>
          </cell>
          <cell r="S205">
            <v>602.55999999999995</v>
          </cell>
          <cell r="T205">
            <v>0</v>
          </cell>
          <cell r="U205">
            <v>28.279999999999998</v>
          </cell>
          <cell r="V205">
            <v>0</v>
          </cell>
          <cell r="W205">
            <v>630.83999999999992</v>
          </cell>
          <cell r="Y205" t="str">
            <v xml:space="preserve">   2.  Level II</v>
          </cell>
          <cell r="Z205">
            <v>0</v>
          </cell>
          <cell r="AA205">
            <v>602.55999999999995</v>
          </cell>
          <cell r="AB205">
            <v>0</v>
          </cell>
          <cell r="AC205">
            <v>28.279999999999998</v>
          </cell>
          <cell r="AD205">
            <v>0</v>
          </cell>
          <cell r="AE205">
            <v>630.83999999999992</v>
          </cell>
        </row>
        <row r="206">
          <cell r="A206" t="str">
            <v xml:space="preserve">   3.  Level III</v>
          </cell>
          <cell r="B206">
            <v>133.19</v>
          </cell>
          <cell r="C206">
            <v>133.19</v>
          </cell>
          <cell r="D206">
            <v>17.91</v>
          </cell>
          <cell r="E206">
            <v>17.91</v>
          </cell>
          <cell r="F206">
            <v>151.10000000000002</v>
          </cell>
          <cell r="G206">
            <v>151.10000000000002</v>
          </cell>
          <cell r="I206" t="str">
            <v xml:space="preserve">   3.  Level III</v>
          </cell>
          <cell r="J206">
            <v>0</v>
          </cell>
          <cell r="K206">
            <v>133.19</v>
          </cell>
          <cell r="L206">
            <v>0</v>
          </cell>
          <cell r="M206">
            <v>17.91</v>
          </cell>
          <cell r="N206">
            <v>0</v>
          </cell>
          <cell r="O206">
            <v>151.10000000000002</v>
          </cell>
          <cell r="Q206" t="str">
            <v xml:space="preserve">   3.  Level III</v>
          </cell>
          <cell r="R206">
            <v>0</v>
          </cell>
          <cell r="S206">
            <v>133.19</v>
          </cell>
          <cell r="T206">
            <v>0</v>
          </cell>
          <cell r="U206">
            <v>17.91</v>
          </cell>
          <cell r="V206">
            <v>0</v>
          </cell>
          <cell r="W206">
            <v>151.10000000000002</v>
          </cell>
          <cell r="Y206" t="str">
            <v xml:space="preserve">   3.  Level III</v>
          </cell>
          <cell r="Z206">
            <v>0</v>
          </cell>
          <cell r="AA206">
            <v>133.19</v>
          </cell>
          <cell r="AB206">
            <v>0</v>
          </cell>
          <cell r="AC206">
            <v>17.91</v>
          </cell>
          <cell r="AD206">
            <v>0</v>
          </cell>
          <cell r="AE206">
            <v>151.10000000000002</v>
          </cell>
        </row>
        <row r="207">
          <cell r="A207" t="str">
            <v xml:space="preserve">   4.  Level IV</v>
          </cell>
          <cell r="B207">
            <v>0</v>
          </cell>
          <cell r="C207">
            <v>0</v>
          </cell>
          <cell r="D207">
            <v>0</v>
          </cell>
          <cell r="E207">
            <v>0</v>
          </cell>
          <cell r="F207">
            <v>0</v>
          </cell>
          <cell r="G207">
            <v>0</v>
          </cell>
          <cell r="I207" t="str">
            <v xml:space="preserve">   4.  Level IV</v>
          </cell>
          <cell r="J207">
            <v>0</v>
          </cell>
          <cell r="K207">
            <v>0</v>
          </cell>
          <cell r="L207">
            <v>0</v>
          </cell>
          <cell r="M207">
            <v>0</v>
          </cell>
          <cell r="N207">
            <v>0</v>
          </cell>
          <cell r="O207">
            <v>0</v>
          </cell>
          <cell r="Q207" t="str">
            <v xml:space="preserve">   4.  Level IV</v>
          </cell>
          <cell r="R207">
            <v>0</v>
          </cell>
          <cell r="S207">
            <v>0</v>
          </cell>
          <cell r="T207">
            <v>0</v>
          </cell>
          <cell r="U207">
            <v>0</v>
          </cell>
          <cell r="V207">
            <v>0</v>
          </cell>
          <cell r="W207">
            <v>0</v>
          </cell>
          <cell r="Y207" t="str">
            <v xml:space="preserve">   4.  Level IV</v>
          </cell>
          <cell r="Z207">
            <v>0</v>
          </cell>
          <cell r="AA207">
            <v>0</v>
          </cell>
          <cell r="AB207">
            <v>0</v>
          </cell>
          <cell r="AC207">
            <v>0</v>
          </cell>
          <cell r="AD207">
            <v>0</v>
          </cell>
          <cell r="AE207">
            <v>0</v>
          </cell>
        </row>
        <row r="208">
          <cell r="A208" t="str">
            <v xml:space="preserve">   5.</v>
          </cell>
          <cell r="I208" t="str">
            <v xml:space="preserve">   5.</v>
          </cell>
          <cell r="Q208" t="str">
            <v xml:space="preserve">   5.</v>
          </cell>
          <cell r="Y208" t="str">
            <v xml:space="preserve">   5.</v>
          </cell>
        </row>
        <row r="209">
          <cell r="A209" t="str">
            <v xml:space="preserve">   6.</v>
          </cell>
          <cell r="I209" t="str">
            <v xml:space="preserve">   6.</v>
          </cell>
          <cell r="Q209" t="str">
            <v xml:space="preserve">   6.</v>
          </cell>
          <cell r="Y209" t="str">
            <v xml:space="preserve">   6.</v>
          </cell>
        </row>
        <row r="210">
          <cell r="A210" t="str">
            <v xml:space="preserve">   7.  Home and Community Based Services (HCBS) Total</v>
          </cell>
          <cell r="B210">
            <v>1325.78</v>
          </cell>
          <cell r="C210">
            <v>1325.78</v>
          </cell>
          <cell r="D210">
            <v>251.34</v>
          </cell>
          <cell r="E210">
            <v>251.34</v>
          </cell>
          <cell r="F210">
            <v>1577.1200000000003</v>
          </cell>
          <cell r="G210">
            <v>1577.1200000000003</v>
          </cell>
          <cell r="I210" t="str">
            <v xml:space="preserve">   7.  Home and Community Based Services (HCBS) Total</v>
          </cell>
          <cell r="J210">
            <v>0</v>
          </cell>
          <cell r="K210">
            <v>1325.78</v>
          </cell>
          <cell r="L210">
            <v>0</v>
          </cell>
          <cell r="M210">
            <v>251.34</v>
          </cell>
          <cell r="N210">
            <v>0</v>
          </cell>
          <cell r="O210">
            <v>1577.1200000000003</v>
          </cell>
          <cell r="Q210" t="str">
            <v xml:space="preserve">   7.  Home and Community Based Services (HCBS) Total</v>
          </cell>
          <cell r="R210">
            <v>0</v>
          </cell>
          <cell r="S210">
            <v>1325.78</v>
          </cell>
          <cell r="T210">
            <v>0</v>
          </cell>
          <cell r="U210">
            <v>251.34</v>
          </cell>
          <cell r="V210">
            <v>0</v>
          </cell>
          <cell r="W210">
            <v>1577.1200000000003</v>
          </cell>
          <cell r="Y210" t="str">
            <v xml:space="preserve">   7.  Home and Community Based Services (HCBS) Total</v>
          </cell>
          <cell r="Z210">
            <v>0</v>
          </cell>
          <cell r="AA210">
            <v>1325.78</v>
          </cell>
          <cell r="AB210">
            <v>0</v>
          </cell>
          <cell r="AC210">
            <v>251.34</v>
          </cell>
          <cell r="AD210">
            <v>0</v>
          </cell>
          <cell r="AE210">
            <v>1577.1200000000003</v>
          </cell>
        </row>
        <row r="211">
          <cell r="A211" t="str">
            <v xml:space="preserve">       a.  Adult Foster Care</v>
          </cell>
          <cell r="B211">
            <v>12.9</v>
          </cell>
          <cell r="C211">
            <v>12.9</v>
          </cell>
          <cell r="D211">
            <v>5.73</v>
          </cell>
          <cell r="E211">
            <v>5.73</v>
          </cell>
          <cell r="F211">
            <v>18.630000000000003</v>
          </cell>
          <cell r="G211">
            <v>18.630000000000003</v>
          </cell>
          <cell r="I211" t="str">
            <v xml:space="preserve">       a.  Adult Foster Care</v>
          </cell>
          <cell r="J211">
            <v>0</v>
          </cell>
          <cell r="K211">
            <v>12.9</v>
          </cell>
          <cell r="L211">
            <v>0</v>
          </cell>
          <cell r="M211">
            <v>5.73</v>
          </cell>
          <cell r="N211">
            <v>0</v>
          </cell>
          <cell r="O211">
            <v>18.630000000000003</v>
          </cell>
          <cell r="Q211" t="str">
            <v xml:space="preserve">       a.  Adult Foster Care</v>
          </cell>
          <cell r="R211">
            <v>0</v>
          </cell>
          <cell r="S211">
            <v>12.9</v>
          </cell>
          <cell r="T211">
            <v>0</v>
          </cell>
          <cell r="U211">
            <v>5.73</v>
          </cell>
          <cell r="V211">
            <v>0</v>
          </cell>
          <cell r="W211">
            <v>18.630000000000003</v>
          </cell>
          <cell r="Y211" t="str">
            <v xml:space="preserve">       a.  Adult Foster Care</v>
          </cell>
          <cell r="Z211">
            <v>0</v>
          </cell>
          <cell r="AA211">
            <v>12.9</v>
          </cell>
          <cell r="AB211">
            <v>0</v>
          </cell>
          <cell r="AC211">
            <v>5.73</v>
          </cell>
          <cell r="AD211">
            <v>0</v>
          </cell>
          <cell r="AE211">
            <v>18.630000000000003</v>
          </cell>
        </row>
        <row r="212">
          <cell r="A212" t="str">
            <v xml:space="preserve">       b.  Assisted Living Home (Adult Care Home)</v>
          </cell>
          <cell r="B212">
            <v>30.16</v>
          </cell>
          <cell r="C212">
            <v>30.16</v>
          </cell>
          <cell r="D212">
            <v>10.3</v>
          </cell>
          <cell r="E212">
            <v>10.3</v>
          </cell>
          <cell r="F212">
            <v>40.46</v>
          </cell>
          <cell r="G212">
            <v>40.46</v>
          </cell>
          <cell r="I212" t="str">
            <v xml:space="preserve">       b.  Assisted Living Home (Adult Care Home)</v>
          </cell>
          <cell r="J212">
            <v>0</v>
          </cell>
          <cell r="K212">
            <v>30.16</v>
          </cell>
          <cell r="L212">
            <v>0</v>
          </cell>
          <cell r="M212">
            <v>10.3</v>
          </cell>
          <cell r="N212">
            <v>0</v>
          </cell>
          <cell r="O212">
            <v>40.46</v>
          </cell>
          <cell r="Q212" t="str">
            <v xml:space="preserve">       b.  Assisted Living Home (Adult Care Home)</v>
          </cell>
          <cell r="R212">
            <v>0</v>
          </cell>
          <cell r="S212">
            <v>30.16</v>
          </cell>
          <cell r="T212">
            <v>0</v>
          </cell>
          <cell r="U212">
            <v>10.3</v>
          </cell>
          <cell r="V212">
            <v>0</v>
          </cell>
          <cell r="W212">
            <v>40.46</v>
          </cell>
          <cell r="Y212" t="str">
            <v xml:space="preserve">       b.  Assisted Living Home (Adult Care Home)</v>
          </cell>
          <cell r="Z212">
            <v>0</v>
          </cell>
          <cell r="AA212">
            <v>30.16</v>
          </cell>
          <cell r="AB212">
            <v>0</v>
          </cell>
          <cell r="AC212">
            <v>10.3</v>
          </cell>
          <cell r="AD212">
            <v>0</v>
          </cell>
          <cell r="AE212">
            <v>40.46</v>
          </cell>
        </row>
        <row r="213">
          <cell r="A213" t="str">
            <v xml:space="preserve">       c.  Group Home (DD)</v>
          </cell>
          <cell r="B213">
            <v>0</v>
          </cell>
          <cell r="C213">
            <v>0</v>
          </cell>
          <cell r="D213">
            <v>0</v>
          </cell>
          <cell r="E213">
            <v>0</v>
          </cell>
          <cell r="F213">
            <v>0</v>
          </cell>
          <cell r="G213">
            <v>0</v>
          </cell>
          <cell r="I213" t="str">
            <v xml:space="preserve">       c.  Group Home (DD)</v>
          </cell>
          <cell r="J213">
            <v>0</v>
          </cell>
          <cell r="K213">
            <v>0</v>
          </cell>
          <cell r="L213">
            <v>0</v>
          </cell>
          <cell r="M213">
            <v>0</v>
          </cell>
          <cell r="N213">
            <v>0</v>
          </cell>
          <cell r="O213">
            <v>0</v>
          </cell>
          <cell r="Q213" t="str">
            <v xml:space="preserve">       c.  Group Home (DD)</v>
          </cell>
          <cell r="R213">
            <v>0</v>
          </cell>
          <cell r="S213">
            <v>0</v>
          </cell>
          <cell r="T213">
            <v>0</v>
          </cell>
          <cell r="U213">
            <v>0</v>
          </cell>
          <cell r="V213">
            <v>0</v>
          </cell>
          <cell r="W213">
            <v>0</v>
          </cell>
          <cell r="Y213" t="str">
            <v xml:space="preserve">       c.  Group Home (DD)</v>
          </cell>
          <cell r="Z213">
            <v>0</v>
          </cell>
          <cell r="AA213">
            <v>0</v>
          </cell>
          <cell r="AB213">
            <v>0</v>
          </cell>
          <cell r="AC213">
            <v>0</v>
          </cell>
          <cell r="AD213">
            <v>0</v>
          </cell>
          <cell r="AE213">
            <v>0</v>
          </cell>
        </row>
        <row r="214">
          <cell r="A214" t="str">
            <v xml:space="preserve">       d.  Individual Home</v>
          </cell>
          <cell r="B214">
            <v>534.37</v>
          </cell>
          <cell r="C214">
            <v>534.37</v>
          </cell>
          <cell r="D214">
            <v>126.09</v>
          </cell>
          <cell r="E214">
            <v>126.09</v>
          </cell>
          <cell r="F214">
            <v>660.46</v>
          </cell>
          <cell r="G214">
            <v>660.46</v>
          </cell>
          <cell r="I214" t="str">
            <v xml:space="preserve">       d.  Individual Home</v>
          </cell>
          <cell r="J214">
            <v>0</v>
          </cell>
          <cell r="K214">
            <v>534.37</v>
          </cell>
          <cell r="L214">
            <v>0</v>
          </cell>
          <cell r="M214">
            <v>126.09</v>
          </cell>
          <cell r="N214">
            <v>0</v>
          </cell>
          <cell r="O214">
            <v>660.46</v>
          </cell>
          <cell r="Q214" t="str">
            <v xml:space="preserve">       d.  Individual Home</v>
          </cell>
          <cell r="R214">
            <v>0</v>
          </cell>
          <cell r="S214">
            <v>534.37</v>
          </cell>
          <cell r="T214">
            <v>0</v>
          </cell>
          <cell r="U214">
            <v>126.09</v>
          </cell>
          <cell r="V214">
            <v>0</v>
          </cell>
          <cell r="W214">
            <v>660.46</v>
          </cell>
          <cell r="Y214" t="str">
            <v xml:space="preserve">       d.  Individual Home</v>
          </cell>
          <cell r="Z214">
            <v>0</v>
          </cell>
          <cell r="AA214">
            <v>534.37</v>
          </cell>
          <cell r="AB214">
            <v>0</v>
          </cell>
          <cell r="AC214">
            <v>126.09</v>
          </cell>
          <cell r="AD214">
            <v>0</v>
          </cell>
          <cell r="AE214">
            <v>660.46</v>
          </cell>
        </row>
        <row r="215">
          <cell r="A215" t="str">
            <v xml:space="preserve">       e.  Assisted Living Centers (SRL)</v>
          </cell>
          <cell r="B215">
            <v>365.73</v>
          </cell>
          <cell r="C215">
            <v>365.73</v>
          </cell>
          <cell r="D215">
            <v>51.73</v>
          </cell>
          <cell r="E215">
            <v>51.73</v>
          </cell>
          <cell r="F215">
            <v>417.46000000000004</v>
          </cell>
          <cell r="G215">
            <v>417.46000000000004</v>
          </cell>
          <cell r="I215" t="str">
            <v xml:space="preserve">       e.  Assisted Living Centers (SRL)</v>
          </cell>
          <cell r="J215">
            <v>0</v>
          </cell>
          <cell r="K215">
            <v>365.73</v>
          </cell>
          <cell r="L215">
            <v>0</v>
          </cell>
          <cell r="M215">
            <v>51.73</v>
          </cell>
          <cell r="N215">
            <v>0</v>
          </cell>
          <cell r="O215">
            <v>417.46000000000004</v>
          </cell>
          <cell r="Q215" t="str">
            <v xml:space="preserve">       e.  Assisted Living Centers (SRL)</v>
          </cell>
          <cell r="R215">
            <v>0</v>
          </cell>
          <cell r="S215">
            <v>365.73</v>
          </cell>
          <cell r="T215">
            <v>0</v>
          </cell>
          <cell r="U215">
            <v>51.73</v>
          </cell>
          <cell r="V215">
            <v>0</v>
          </cell>
          <cell r="W215">
            <v>417.46000000000004</v>
          </cell>
          <cell r="Y215" t="str">
            <v xml:space="preserve">       e.  Assisted Living Centers (SRL)</v>
          </cell>
          <cell r="Z215">
            <v>0</v>
          </cell>
          <cell r="AA215">
            <v>365.73</v>
          </cell>
          <cell r="AB215">
            <v>0</v>
          </cell>
          <cell r="AC215">
            <v>51.73</v>
          </cell>
          <cell r="AD215">
            <v>0</v>
          </cell>
          <cell r="AE215">
            <v>417.46000000000004</v>
          </cell>
        </row>
        <row r="216">
          <cell r="A216" t="str">
            <v xml:space="preserve">       f.  Other (Hospice)</v>
          </cell>
          <cell r="B216">
            <v>4.0600000000000005</v>
          </cell>
          <cell r="C216">
            <v>4.0600000000000005</v>
          </cell>
          <cell r="D216">
            <v>0</v>
          </cell>
          <cell r="E216">
            <v>0</v>
          </cell>
          <cell r="F216">
            <v>4.0600000000000005</v>
          </cell>
          <cell r="G216">
            <v>4.0600000000000005</v>
          </cell>
          <cell r="I216" t="str">
            <v xml:space="preserve">       f.  Other (Hospice)</v>
          </cell>
          <cell r="J216">
            <v>0</v>
          </cell>
          <cell r="K216">
            <v>4.0600000000000005</v>
          </cell>
          <cell r="L216">
            <v>0</v>
          </cell>
          <cell r="M216">
            <v>0</v>
          </cell>
          <cell r="N216">
            <v>0</v>
          </cell>
          <cell r="O216">
            <v>4.0600000000000005</v>
          </cell>
          <cell r="Q216" t="str">
            <v xml:space="preserve">       f.  Other (Hospice)</v>
          </cell>
          <cell r="R216">
            <v>0</v>
          </cell>
          <cell r="S216">
            <v>4.0600000000000005</v>
          </cell>
          <cell r="T216">
            <v>0</v>
          </cell>
          <cell r="U216">
            <v>0</v>
          </cell>
          <cell r="V216">
            <v>0</v>
          </cell>
          <cell r="W216">
            <v>4.0600000000000005</v>
          </cell>
          <cell r="Y216" t="str">
            <v xml:space="preserve">       f.  Other (Hospice)</v>
          </cell>
          <cell r="Z216">
            <v>0</v>
          </cell>
          <cell r="AA216">
            <v>4.0600000000000005</v>
          </cell>
          <cell r="AB216">
            <v>0</v>
          </cell>
          <cell r="AC216">
            <v>0</v>
          </cell>
          <cell r="AD216">
            <v>0</v>
          </cell>
          <cell r="AE216">
            <v>4.0600000000000005</v>
          </cell>
        </row>
        <row r="217">
          <cell r="A217" t="str">
            <v xml:space="preserve">       g.  Attendant Care</v>
          </cell>
          <cell r="B217">
            <v>378.56</v>
          </cell>
          <cell r="C217">
            <v>378.56</v>
          </cell>
          <cell r="D217">
            <v>57.490000000000009</v>
          </cell>
          <cell r="E217">
            <v>57.490000000000009</v>
          </cell>
          <cell r="F217">
            <v>436.04999999999995</v>
          </cell>
          <cell r="G217">
            <v>436.04999999999995</v>
          </cell>
          <cell r="I217" t="str">
            <v xml:space="preserve">       g.  Attendant Care</v>
          </cell>
          <cell r="J217">
            <v>0</v>
          </cell>
          <cell r="K217">
            <v>378.56</v>
          </cell>
          <cell r="L217">
            <v>0</v>
          </cell>
          <cell r="M217">
            <v>57.490000000000009</v>
          </cell>
          <cell r="N217">
            <v>0</v>
          </cell>
          <cell r="O217">
            <v>436.04999999999995</v>
          </cell>
          <cell r="Q217" t="str">
            <v xml:space="preserve">       g.  Attendant Care</v>
          </cell>
          <cell r="R217">
            <v>0</v>
          </cell>
          <cell r="S217">
            <v>378.56</v>
          </cell>
          <cell r="T217">
            <v>0</v>
          </cell>
          <cell r="U217">
            <v>57.490000000000009</v>
          </cell>
          <cell r="V217">
            <v>0</v>
          </cell>
          <cell r="W217">
            <v>436.04999999999995</v>
          </cell>
          <cell r="Y217" t="str">
            <v xml:space="preserve">       g.  Attendant Care</v>
          </cell>
          <cell r="Z217">
            <v>0</v>
          </cell>
          <cell r="AA217">
            <v>378.56</v>
          </cell>
          <cell r="AB217">
            <v>0</v>
          </cell>
          <cell r="AC217">
            <v>57.490000000000009</v>
          </cell>
          <cell r="AD217">
            <v>0</v>
          </cell>
          <cell r="AE217">
            <v>436.04999999999995</v>
          </cell>
        </row>
        <row r="218">
          <cell r="A218" t="str">
            <v xml:space="preserve">   8.  Acute Care</v>
          </cell>
          <cell r="B218">
            <v>6.9</v>
          </cell>
          <cell r="C218">
            <v>6.9</v>
          </cell>
          <cell r="D218">
            <v>0</v>
          </cell>
          <cell r="E218">
            <v>0</v>
          </cell>
          <cell r="F218">
            <v>6.9</v>
          </cell>
          <cell r="G218">
            <v>6.9</v>
          </cell>
          <cell r="I218" t="str">
            <v xml:space="preserve">   8.  Acute Care</v>
          </cell>
          <cell r="J218">
            <v>0</v>
          </cell>
          <cell r="K218">
            <v>6.9</v>
          </cell>
          <cell r="L218">
            <v>0</v>
          </cell>
          <cell r="M218">
            <v>0</v>
          </cell>
          <cell r="N218">
            <v>0</v>
          </cell>
          <cell r="O218">
            <v>6.9</v>
          </cell>
          <cell r="Q218" t="str">
            <v xml:space="preserve">   8.  Acute Care</v>
          </cell>
          <cell r="R218">
            <v>0</v>
          </cell>
          <cell r="S218">
            <v>6.9</v>
          </cell>
          <cell r="T218">
            <v>0</v>
          </cell>
          <cell r="U218">
            <v>0</v>
          </cell>
          <cell r="V218">
            <v>0</v>
          </cell>
          <cell r="W218">
            <v>6.9</v>
          </cell>
          <cell r="Y218" t="str">
            <v xml:space="preserve">   8.  Acute Care</v>
          </cell>
          <cell r="Z218">
            <v>0</v>
          </cell>
          <cell r="AA218">
            <v>6.9</v>
          </cell>
          <cell r="AB218">
            <v>0</v>
          </cell>
          <cell r="AC218">
            <v>0</v>
          </cell>
          <cell r="AD218">
            <v>0</v>
          </cell>
          <cell r="AE218">
            <v>6.9</v>
          </cell>
        </row>
        <row r="219">
          <cell r="A219" t="str">
            <v xml:space="preserve">   9.  Ventilator</v>
          </cell>
          <cell r="B219">
            <v>4</v>
          </cell>
          <cell r="C219">
            <v>4</v>
          </cell>
          <cell r="D219">
            <v>0</v>
          </cell>
          <cell r="E219">
            <v>0</v>
          </cell>
          <cell r="F219">
            <v>4</v>
          </cell>
          <cell r="G219">
            <v>4</v>
          </cell>
          <cell r="I219" t="str">
            <v xml:space="preserve">   9.  Ventilator</v>
          </cell>
          <cell r="J219">
            <v>0</v>
          </cell>
          <cell r="K219">
            <v>4</v>
          </cell>
          <cell r="L219">
            <v>0</v>
          </cell>
          <cell r="M219">
            <v>0</v>
          </cell>
          <cell r="N219">
            <v>0</v>
          </cell>
          <cell r="O219">
            <v>4</v>
          </cell>
          <cell r="Q219" t="str">
            <v xml:space="preserve">   9.  Ventilator</v>
          </cell>
          <cell r="R219">
            <v>0</v>
          </cell>
          <cell r="S219">
            <v>4</v>
          </cell>
          <cell r="T219">
            <v>0</v>
          </cell>
          <cell r="U219">
            <v>0</v>
          </cell>
          <cell r="V219">
            <v>0</v>
          </cell>
          <cell r="W219">
            <v>4</v>
          </cell>
          <cell r="Y219" t="str">
            <v xml:space="preserve">   9.  Ventilator</v>
          </cell>
          <cell r="Z219">
            <v>0</v>
          </cell>
          <cell r="AA219">
            <v>4</v>
          </cell>
          <cell r="AB219">
            <v>0</v>
          </cell>
          <cell r="AC219">
            <v>0</v>
          </cell>
          <cell r="AD219">
            <v>0</v>
          </cell>
          <cell r="AE219">
            <v>4</v>
          </cell>
        </row>
        <row r="220">
          <cell r="A220" t="str">
            <v xml:space="preserve">  10.  Prior Period</v>
          </cell>
          <cell r="B220">
            <v>80.073099999999997</v>
          </cell>
          <cell r="C220">
            <v>80.073099999999997</v>
          </cell>
          <cell r="D220">
            <v>9.0333000000000006</v>
          </cell>
          <cell r="E220">
            <v>9.0333000000000006</v>
          </cell>
          <cell r="F220">
            <v>89.106400000000008</v>
          </cell>
          <cell r="G220">
            <v>89.106400000000008</v>
          </cell>
          <cell r="I220" t="str">
            <v xml:space="preserve">  10.  Prior Period</v>
          </cell>
          <cell r="J220">
            <v>0</v>
          </cell>
          <cell r="K220">
            <v>80.073099999999997</v>
          </cell>
          <cell r="L220">
            <v>0</v>
          </cell>
          <cell r="M220">
            <v>9.0333000000000006</v>
          </cell>
          <cell r="N220">
            <v>0</v>
          </cell>
          <cell r="O220">
            <v>89.106400000000008</v>
          </cell>
          <cell r="Q220" t="str">
            <v xml:space="preserve">  10.  Prior Period</v>
          </cell>
          <cell r="R220">
            <v>0</v>
          </cell>
          <cell r="S220">
            <v>80.073099999999997</v>
          </cell>
          <cell r="T220">
            <v>0</v>
          </cell>
          <cell r="U220">
            <v>9.0333000000000006</v>
          </cell>
          <cell r="V220">
            <v>0</v>
          </cell>
          <cell r="W220">
            <v>89.106400000000008</v>
          </cell>
          <cell r="Y220" t="str">
            <v xml:space="preserve">  10.  Prior Period</v>
          </cell>
          <cell r="Z220">
            <v>0</v>
          </cell>
          <cell r="AA220">
            <v>80.073099999999997</v>
          </cell>
          <cell r="AB220">
            <v>0</v>
          </cell>
          <cell r="AC220">
            <v>9.0333000000000006</v>
          </cell>
          <cell r="AD220">
            <v>0</v>
          </cell>
          <cell r="AE220">
            <v>89.106400000000008</v>
          </cell>
        </row>
        <row r="221">
          <cell r="A221" t="str">
            <v xml:space="preserve">  11.  Other - Not Placed</v>
          </cell>
          <cell r="B221">
            <v>-294.55</v>
          </cell>
          <cell r="C221">
            <v>-294.55</v>
          </cell>
          <cell r="D221">
            <v>-14.290000000000001</v>
          </cell>
          <cell r="E221">
            <v>-14.290000000000001</v>
          </cell>
          <cell r="F221">
            <v>-308.84000000000003</v>
          </cell>
          <cell r="G221">
            <v>-308.84000000000003</v>
          </cell>
          <cell r="I221" t="str">
            <v xml:space="preserve">  11.  Other - Not Placed</v>
          </cell>
          <cell r="J221">
            <v>0</v>
          </cell>
          <cell r="K221">
            <v>-294.55</v>
          </cell>
          <cell r="L221">
            <v>0</v>
          </cell>
          <cell r="M221">
            <v>-14.290000000000001</v>
          </cell>
          <cell r="N221">
            <v>0</v>
          </cell>
          <cell r="O221">
            <v>-308.84000000000003</v>
          </cell>
          <cell r="Q221" t="str">
            <v xml:space="preserve">  11.  Other - Not Placed</v>
          </cell>
          <cell r="R221">
            <v>0</v>
          </cell>
          <cell r="S221">
            <v>-294.55</v>
          </cell>
          <cell r="T221">
            <v>0</v>
          </cell>
          <cell r="U221">
            <v>-14.290000000000001</v>
          </cell>
          <cell r="V221">
            <v>0</v>
          </cell>
          <cell r="W221">
            <v>-308.84000000000003</v>
          </cell>
          <cell r="Y221" t="str">
            <v xml:space="preserve">  11.  Other - Not Placed</v>
          </cell>
          <cell r="Z221">
            <v>0</v>
          </cell>
          <cell r="AA221">
            <v>-294.55</v>
          </cell>
          <cell r="AB221">
            <v>0</v>
          </cell>
          <cell r="AC221">
            <v>-14.290000000000001</v>
          </cell>
          <cell r="AD221">
            <v>0</v>
          </cell>
          <cell r="AE221">
            <v>-308.84000000000003</v>
          </cell>
        </row>
        <row r="223">
          <cell r="A223" t="str">
            <v>C.   Acute Patient Day Information</v>
          </cell>
          <cell r="I223" t="str">
            <v>C.   Acute Patient Day Information</v>
          </cell>
          <cell r="Q223" t="str">
            <v>C.   Acute Patient Day Information</v>
          </cell>
          <cell r="Y223" t="str">
            <v>C.   Acute Patient Day Information</v>
          </cell>
        </row>
        <row r="224">
          <cell r="A224" t="str">
            <v xml:space="preserve">       a.  Admissions</v>
          </cell>
          <cell r="B224">
            <v>125</v>
          </cell>
          <cell r="C224">
            <v>125</v>
          </cell>
          <cell r="D224">
            <v>34</v>
          </cell>
          <cell r="E224">
            <v>34</v>
          </cell>
          <cell r="F224">
            <v>159</v>
          </cell>
          <cell r="G224">
            <v>159</v>
          </cell>
          <cell r="I224" t="str">
            <v xml:space="preserve">       a.  Admissions</v>
          </cell>
          <cell r="J224">
            <v>0</v>
          </cell>
          <cell r="K224">
            <v>125</v>
          </cell>
          <cell r="L224">
            <v>0</v>
          </cell>
          <cell r="M224">
            <v>34</v>
          </cell>
          <cell r="N224">
            <v>0</v>
          </cell>
          <cell r="O224">
            <v>159</v>
          </cell>
          <cell r="Q224" t="str">
            <v xml:space="preserve">       a.  Admissions</v>
          </cell>
          <cell r="R224">
            <v>0</v>
          </cell>
          <cell r="S224">
            <v>125</v>
          </cell>
          <cell r="T224">
            <v>0</v>
          </cell>
          <cell r="U224">
            <v>34</v>
          </cell>
          <cell r="V224">
            <v>0</v>
          </cell>
          <cell r="W224">
            <v>159</v>
          </cell>
          <cell r="Y224" t="str">
            <v xml:space="preserve">       a.  Admissions</v>
          </cell>
          <cell r="Z224">
            <v>0</v>
          </cell>
          <cell r="AA224">
            <v>125</v>
          </cell>
          <cell r="AB224">
            <v>0</v>
          </cell>
          <cell r="AC224">
            <v>34</v>
          </cell>
          <cell r="AD224">
            <v>0</v>
          </cell>
          <cell r="AE224">
            <v>159</v>
          </cell>
        </row>
        <row r="225">
          <cell r="A225" t="str">
            <v xml:space="preserve">       b.  Patient Days</v>
          </cell>
          <cell r="B225">
            <v>727</v>
          </cell>
          <cell r="C225">
            <v>727</v>
          </cell>
          <cell r="D225">
            <v>221</v>
          </cell>
          <cell r="E225">
            <v>221</v>
          </cell>
          <cell r="F225">
            <v>948</v>
          </cell>
          <cell r="G225">
            <v>948</v>
          </cell>
          <cell r="I225" t="str">
            <v xml:space="preserve">       b.  Patient Days</v>
          </cell>
          <cell r="J225">
            <v>0</v>
          </cell>
          <cell r="K225">
            <v>727</v>
          </cell>
          <cell r="L225">
            <v>0</v>
          </cell>
          <cell r="M225">
            <v>221</v>
          </cell>
          <cell r="N225">
            <v>0</v>
          </cell>
          <cell r="O225">
            <v>948</v>
          </cell>
          <cell r="Q225" t="str">
            <v xml:space="preserve">       b.  Patient Days</v>
          </cell>
          <cell r="R225">
            <v>0</v>
          </cell>
          <cell r="S225">
            <v>727</v>
          </cell>
          <cell r="T225">
            <v>0</v>
          </cell>
          <cell r="U225">
            <v>221</v>
          </cell>
          <cell r="V225">
            <v>0</v>
          </cell>
          <cell r="W225">
            <v>948</v>
          </cell>
          <cell r="Y225" t="str">
            <v xml:space="preserve">       b.  Patient Days</v>
          </cell>
          <cell r="Z225">
            <v>0</v>
          </cell>
          <cell r="AA225">
            <v>727</v>
          </cell>
          <cell r="AB225">
            <v>0</v>
          </cell>
          <cell r="AC225">
            <v>221</v>
          </cell>
          <cell r="AD225">
            <v>0</v>
          </cell>
          <cell r="AE225">
            <v>948</v>
          </cell>
        </row>
        <row r="226">
          <cell r="A226" t="str">
            <v xml:space="preserve">       c.  Discharges</v>
          </cell>
          <cell r="B226">
            <v>119</v>
          </cell>
          <cell r="C226">
            <v>119</v>
          </cell>
          <cell r="D226">
            <v>28</v>
          </cell>
          <cell r="E226">
            <v>28</v>
          </cell>
          <cell r="F226">
            <v>147</v>
          </cell>
          <cell r="G226">
            <v>147</v>
          </cell>
          <cell r="I226" t="str">
            <v xml:space="preserve">       c.  Discharges</v>
          </cell>
          <cell r="J226">
            <v>0</v>
          </cell>
          <cell r="K226">
            <v>119</v>
          </cell>
          <cell r="L226">
            <v>0</v>
          </cell>
          <cell r="M226">
            <v>28</v>
          </cell>
          <cell r="N226">
            <v>0</v>
          </cell>
          <cell r="O226">
            <v>147</v>
          </cell>
          <cell r="Q226" t="str">
            <v xml:space="preserve">       c.  Discharges</v>
          </cell>
          <cell r="R226">
            <v>0</v>
          </cell>
          <cell r="S226">
            <v>119</v>
          </cell>
          <cell r="T226">
            <v>0</v>
          </cell>
          <cell r="U226">
            <v>28</v>
          </cell>
          <cell r="V226">
            <v>0</v>
          </cell>
          <cell r="W226">
            <v>147</v>
          </cell>
          <cell r="Y226" t="str">
            <v xml:space="preserve">       c.  Discharges</v>
          </cell>
          <cell r="Z226">
            <v>0</v>
          </cell>
          <cell r="AA226">
            <v>119</v>
          </cell>
          <cell r="AB226">
            <v>0</v>
          </cell>
          <cell r="AC226">
            <v>28</v>
          </cell>
          <cell r="AD226">
            <v>0</v>
          </cell>
          <cell r="AE226">
            <v>147</v>
          </cell>
        </row>
        <row r="227">
          <cell r="A227" t="str">
            <v xml:space="preserve">       d.  Discharge Days</v>
          </cell>
          <cell r="B227">
            <v>586</v>
          </cell>
          <cell r="C227">
            <v>586</v>
          </cell>
          <cell r="D227">
            <v>142</v>
          </cell>
          <cell r="E227">
            <v>142</v>
          </cell>
          <cell r="F227">
            <v>728</v>
          </cell>
          <cell r="G227">
            <v>728</v>
          </cell>
          <cell r="I227" t="str">
            <v xml:space="preserve">       d.  Discharge Days</v>
          </cell>
          <cell r="J227">
            <v>0</v>
          </cell>
          <cell r="K227">
            <v>586</v>
          </cell>
          <cell r="L227">
            <v>0</v>
          </cell>
          <cell r="M227">
            <v>142</v>
          </cell>
          <cell r="N227">
            <v>0</v>
          </cell>
          <cell r="O227">
            <v>728</v>
          </cell>
          <cell r="Q227" t="str">
            <v xml:space="preserve">       d.  Discharge Days</v>
          </cell>
          <cell r="R227">
            <v>0</v>
          </cell>
          <cell r="S227">
            <v>586</v>
          </cell>
          <cell r="T227">
            <v>0</v>
          </cell>
          <cell r="U227">
            <v>142</v>
          </cell>
          <cell r="V227">
            <v>0</v>
          </cell>
          <cell r="W227">
            <v>728</v>
          </cell>
          <cell r="Y227" t="str">
            <v xml:space="preserve">       d.  Discharge Days</v>
          </cell>
          <cell r="Z227">
            <v>0</v>
          </cell>
          <cell r="AA227">
            <v>586</v>
          </cell>
          <cell r="AB227">
            <v>0</v>
          </cell>
          <cell r="AC227">
            <v>142</v>
          </cell>
          <cell r="AD227">
            <v>0</v>
          </cell>
          <cell r="AE227">
            <v>728</v>
          </cell>
        </row>
        <row r="228">
          <cell r="A228" t="str">
            <v xml:space="preserve">       e.  Average Length of Stay</v>
          </cell>
          <cell r="B228">
            <v>4.9243697478991599</v>
          </cell>
          <cell r="C228">
            <v>4.9243697478991599</v>
          </cell>
          <cell r="D228">
            <v>5.0714285714285712</v>
          </cell>
          <cell r="E228">
            <v>5.0714285714285712</v>
          </cell>
          <cell r="F228">
            <v>4.9523809523809526</v>
          </cell>
          <cell r="G228">
            <v>4.9523809523809526</v>
          </cell>
          <cell r="I228" t="str">
            <v xml:space="preserve">       e.  Average Length of Stay</v>
          </cell>
          <cell r="J228">
            <v>0</v>
          </cell>
          <cell r="K228">
            <v>4.9243697478991599</v>
          </cell>
          <cell r="L228">
            <v>0</v>
          </cell>
          <cell r="M228">
            <v>5.0714285714285712</v>
          </cell>
          <cell r="N228">
            <v>0</v>
          </cell>
          <cell r="O228">
            <v>4.9523809523809526</v>
          </cell>
          <cell r="Q228" t="str">
            <v xml:space="preserve">       e.  Average Length of Stay</v>
          </cell>
          <cell r="R228">
            <v>0</v>
          </cell>
          <cell r="S228">
            <v>4.9243697478991599</v>
          </cell>
          <cell r="T228">
            <v>0</v>
          </cell>
          <cell r="U228">
            <v>5.0714285714285712</v>
          </cell>
          <cell r="V228">
            <v>0</v>
          </cell>
          <cell r="W228">
            <v>4.9523809523809526</v>
          </cell>
          <cell r="Y228" t="str">
            <v xml:space="preserve">       e.  Average Length of Stay</v>
          </cell>
          <cell r="Z228">
            <v>0</v>
          </cell>
          <cell r="AA228">
            <v>4.9243697478991599</v>
          </cell>
          <cell r="AB228">
            <v>0</v>
          </cell>
          <cell r="AC228">
            <v>5.0714285714285712</v>
          </cell>
          <cell r="AD228">
            <v>0</v>
          </cell>
          <cell r="AE228">
            <v>4.9523809523809526</v>
          </cell>
        </row>
        <row r="230">
          <cell r="A230" t="str">
            <v>D.   Emergency Room Visits</v>
          </cell>
          <cell r="B230">
            <v>102</v>
          </cell>
          <cell r="C230">
            <v>102</v>
          </cell>
          <cell r="D230">
            <v>32</v>
          </cell>
          <cell r="E230">
            <v>32</v>
          </cell>
          <cell r="F230">
            <v>134</v>
          </cell>
          <cell r="G230">
            <v>134</v>
          </cell>
          <cell r="I230" t="str">
            <v>D.   Emergency Room Visits</v>
          </cell>
          <cell r="J230">
            <v>0</v>
          </cell>
          <cell r="K230">
            <v>102</v>
          </cell>
          <cell r="L230">
            <v>0</v>
          </cell>
          <cell r="M230">
            <v>32</v>
          </cell>
          <cell r="N230">
            <v>0</v>
          </cell>
          <cell r="O230">
            <v>134</v>
          </cell>
          <cell r="Q230" t="str">
            <v>D.   Emergency Room Visits</v>
          </cell>
          <cell r="R230">
            <v>0</v>
          </cell>
          <cell r="S230">
            <v>102</v>
          </cell>
          <cell r="T230">
            <v>0</v>
          </cell>
          <cell r="U230">
            <v>32</v>
          </cell>
          <cell r="V230">
            <v>0</v>
          </cell>
          <cell r="W230">
            <v>134</v>
          </cell>
          <cell r="Y230" t="str">
            <v>D.   Emergency Room Visits</v>
          </cell>
          <cell r="Z230">
            <v>0</v>
          </cell>
          <cell r="AA230">
            <v>102</v>
          </cell>
          <cell r="AB230">
            <v>0</v>
          </cell>
          <cell r="AC230">
            <v>32</v>
          </cell>
          <cell r="AD230">
            <v>0</v>
          </cell>
          <cell r="AE230">
            <v>134</v>
          </cell>
        </row>
        <row r="234">
          <cell r="A234" t="str">
            <v>Program Contractor Financial Reporting Systems - Report #11C Utilization Data Report Consolidated by County</v>
          </cell>
          <cell r="I234" t="str">
            <v>Program Contractor Financial Reporting Systems - Report #11C Utilization Data Report Consolidated by County</v>
          </cell>
          <cell r="Q234" t="str">
            <v>Program Contractor Financial Reporting Systems - Report #11C Utilization Data Report Consolidated by County</v>
          </cell>
          <cell r="Y234" t="str">
            <v>Program Contractor Financial Reporting Systems - Report #11C Utilization Data Report Consolidated by County</v>
          </cell>
        </row>
        <row r="236">
          <cell r="A236" t="str">
            <v>Statement for Program Contractor 110049 - Evercare of Arizona, Inc.</v>
          </cell>
          <cell r="F236" t="str">
            <v>County:</v>
          </cell>
          <cell r="G236" t="str">
            <v>Navajo</v>
          </cell>
          <cell r="I236" t="str">
            <v>Statement for Program Contractor 110049 - Evercare of Arizona, Inc.</v>
          </cell>
          <cell r="N236" t="str">
            <v>County:</v>
          </cell>
          <cell r="O236" t="str">
            <v>Navajo</v>
          </cell>
          <cell r="Q236" t="str">
            <v>Statement for Program Contractor 110049 - Evercare of Arizona, Inc.</v>
          </cell>
          <cell r="V236" t="str">
            <v>County:</v>
          </cell>
          <cell r="W236" t="str">
            <v>Navajo</v>
          </cell>
          <cell r="Y236" t="str">
            <v>Statement for Program Contractor 110049 - Evercare of Arizona, Inc.</v>
          </cell>
          <cell r="AD236" t="str">
            <v>County:</v>
          </cell>
          <cell r="AE236" t="str">
            <v>Navajo</v>
          </cell>
        </row>
        <row r="238">
          <cell r="A238" t="str">
            <v>For the Quarter ending 12/31/2005 in the Fiscal Year ending 9/30/2006</v>
          </cell>
          <cell r="F238" t="str">
            <v>Page 6 of 8</v>
          </cell>
          <cell r="I238" t="str">
            <v>For the Quarter ending 3/31/2006 in the Fiscal Year ending 9/30/2006</v>
          </cell>
          <cell r="N238" t="str">
            <v>Page 6 of 8</v>
          </cell>
          <cell r="Q238" t="str">
            <v>For the Quarter ending 6/30/2006 in the Fiscal Year ending 9/30/2006</v>
          </cell>
          <cell r="V238" t="str">
            <v>Page 6 of 8</v>
          </cell>
          <cell r="Y238" t="str">
            <v>For the Quarter ending 9/30/2006 in the Fiscal Year ending 9/30/2006</v>
          </cell>
          <cell r="AD238" t="str">
            <v>Page 6 of 8</v>
          </cell>
        </row>
        <row r="241">
          <cell r="A241" t="str">
            <v>Utilization Data Report by County</v>
          </cell>
          <cell r="I241" t="str">
            <v>Utilization Data Report by County</v>
          </cell>
          <cell r="Q241" t="str">
            <v>Utilization Data Report by County</v>
          </cell>
          <cell r="Y241" t="str">
            <v>Utilization Data Report by County</v>
          </cell>
        </row>
        <row r="243">
          <cell r="B243" t="str">
            <v>MEDICARE</v>
          </cell>
          <cell r="D243" t="str">
            <v>NON-MEDICARE</v>
          </cell>
          <cell r="F243" t="str">
            <v>TOTAL</v>
          </cell>
          <cell r="J243" t="str">
            <v>MEDICARE</v>
          </cell>
          <cell r="L243" t="str">
            <v>NON-MEDICARE</v>
          </cell>
          <cell r="N243" t="str">
            <v>TOTAL</v>
          </cell>
          <cell r="R243" t="str">
            <v>MEDICARE</v>
          </cell>
          <cell r="T243" t="str">
            <v>NON-MEDICARE</v>
          </cell>
          <cell r="V243" t="str">
            <v>TOTAL</v>
          </cell>
          <cell r="Z243" t="str">
            <v>MEDICARE</v>
          </cell>
          <cell r="AB243" t="str">
            <v>NON-MEDICARE</v>
          </cell>
          <cell r="AD243" t="str">
            <v>TOTAL</v>
          </cell>
        </row>
        <row r="244">
          <cell r="A244" t="str">
            <v>ITEM DESCRIPTION</v>
          </cell>
          <cell r="B244" t="str">
            <v>Current</v>
          </cell>
          <cell r="D244" t="str">
            <v>Current</v>
          </cell>
          <cell r="F244" t="str">
            <v>Current</v>
          </cell>
          <cell r="I244" t="str">
            <v>ITEM DESCRIPTION</v>
          </cell>
          <cell r="J244" t="str">
            <v>Current</v>
          </cell>
          <cell r="L244" t="str">
            <v>Current</v>
          </cell>
          <cell r="N244" t="str">
            <v>Current</v>
          </cell>
          <cell r="Q244" t="str">
            <v>ITEM DESCRIPTION</v>
          </cell>
          <cell r="R244" t="str">
            <v>Current</v>
          </cell>
          <cell r="T244" t="str">
            <v>Current</v>
          </cell>
          <cell r="V244" t="str">
            <v>Current</v>
          </cell>
          <cell r="Y244" t="str">
            <v>ITEM DESCRIPTION</v>
          </cell>
          <cell r="Z244" t="str">
            <v>Current</v>
          </cell>
          <cell r="AB244" t="str">
            <v>Current</v>
          </cell>
          <cell r="AD244" t="str">
            <v>Current</v>
          </cell>
        </row>
        <row r="245">
          <cell r="B245" t="str">
            <v>Period</v>
          </cell>
          <cell r="C245" t="str">
            <v>YTD</v>
          </cell>
          <cell r="D245" t="str">
            <v>Period</v>
          </cell>
          <cell r="E245" t="str">
            <v>YTD</v>
          </cell>
          <cell r="F245" t="str">
            <v>Period</v>
          </cell>
          <cell r="G245" t="str">
            <v>YTD</v>
          </cell>
          <cell r="J245" t="str">
            <v>Period</v>
          </cell>
          <cell r="K245" t="str">
            <v>YTD</v>
          </cell>
          <cell r="L245" t="str">
            <v>Period</v>
          </cell>
          <cell r="M245" t="str">
            <v>YTD</v>
          </cell>
          <cell r="N245" t="str">
            <v>Period</v>
          </cell>
          <cell r="O245" t="str">
            <v>YTD</v>
          </cell>
          <cell r="R245" t="str">
            <v>Period</v>
          </cell>
          <cell r="S245" t="str">
            <v>YTD</v>
          </cell>
          <cell r="T245" t="str">
            <v>Period</v>
          </cell>
          <cell r="U245" t="str">
            <v>YTD</v>
          </cell>
          <cell r="V245" t="str">
            <v>Period</v>
          </cell>
          <cell r="W245" t="str">
            <v>YTD</v>
          </cell>
          <cell r="Z245" t="str">
            <v>Period</v>
          </cell>
          <cell r="AA245" t="str">
            <v>YTD</v>
          </cell>
          <cell r="AB245" t="str">
            <v>Period</v>
          </cell>
          <cell r="AC245" t="str">
            <v>YTD</v>
          </cell>
          <cell r="AD245" t="str">
            <v>Period</v>
          </cell>
          <cell r="AE245" t="str">
            <v>YTD</v>
          </cell>
        </row>
        <row r="246">
          <cell r="A246" t="str">
            <v>A.   Enrollees (At End of Period)</v>
          </cell>
          <cell r="B246">
            <v>176</v>
          </cell>
          <cell r="D246">
            <v>46</v>
          </cell>
          <cell r="F246">
            <v>222</v>
          </cell>
          <cell r="I246" t="str">
            <v>A.   Enrollees (At End of Period)</v>
          </cell>
          <cell r="J246">
            <v>0</v>
          </cell>
          <cell r="L246">
            <v>0</v>
          </cell>
          <cell r="N246">
            <v>0</v>
          </cell>
          <cell r="Q246" t="str">
            <v>A.   Enrollees (At End of Period)</v>
          </cell>
          <cell r="R246">
            <v>0</v>
          </cell>
          <cell r="T246">
            <v>0</v>
          </cell>
          <cell r="V246">
            <v>0</v>
          </cell>
          <cell r="Y246" t="str">
            <v>A.   Enrollees (At End of Period)</v>
          </cell>
          <cell r="Z246">
            <v>0</v>
          </cell>
          <cell r="AB246">
            <v>0</v>
          </cell>
          <cell r="AD246">
            <v>0</v>
          </cell>
        </row>
        <row r="248">
          <cell r="A248" t="str">
            <v>B.   Member Months (Unduplicated)</v>
          </cell>
          <cell r="B248">
            <v>588.84999999999991</v>
          </cell>
          <cell r="C248">
            <v>588.84999999999991</v>
          </cell>
          <cell r="D248">
            <v>145.7423</v>
          </cell>
          <cell r="E248">
            <v>145.7423</v>
          </cell>
          <cell r="F248">
            <v>734.5922999999998</v>
          </cell>
          <cell r="G248">
            <v>734.5922999999998</v>
          </cell>
          <cell r="I248" t="str">
            <v>B.   Member Months (Unduplicated)</v>
          </cell>
          <cell r="J248">
            <v>0</v>
          </cell>
          <cell r="K248">
            <v>588.84999999999991</v>
          </cell>
          <cell r="L248">
            <v>0</v>
          </cell>
          <cell r="M248">
            <v>145.7423</v>
          </cell>
          <cell r="N248">
            <v>0</v>
          </cell>
          <cell r="O248">
            <v>734.5922999999998</v>
          </cell>
          <cell r="Q248" t="str">
            <v>B.   Member Months (Unduplicated)</v>
          </cell>
          <cell r="R248">
            <v>0</v>
          </cell>
          <cell r="S248">
            <v>588.84999999999991</v>
          </cell>
          <cell r="T248">
            <v>0</v>
          </cell>
          <cell r="U248">
            <v>145.7423</v>
          </cell>
          <cell r="V248">
            <v>0</v>
          </cell>
          <cell r="W248">
            <v>734.5922999999998</v>
          </cell>
          <cell r="Y248" t="str">
            <v>B.   Member Months (Unduplicated)</v>
          </cell>
          <cell r="Z248">
            <v>0</v>
          </cell>
          <cell r="AA248">
            <v>588.84999999999991</v>
          </cell>
          <cell r="AB248">
            <v>0</v>
          </cell>
          <cell r="AC248">
            <v>145.7423</v>
          </cell>
          <cell r="AD248">
            <v>0</v>
          </cell>
          <cell r="AE248">
            <v>734.5922999999998</v>
          </cell>
        </row>
        <row r="249">
          <cell r="A249" t="str">
            <v xml:space="preserve">   Institutional Member Months Total</v>
          </cell>
          <cell r="B249">
            <v>111.25999999999999</v>
          </cell>
          <cell r="C249">
            <v>111.25999999999999</v>
          </cell>
          <cell r="D249">
            <v>25.259999999999998</v>
          </cell>
          <cell r="E249">
            <v>25.259999999999998</v>
          </cell>
          <cell r="F249">
            <v>136.51999999999998</v>
          </cell>
          <cell r="G249">
            <v>136.51999999999998</v>
          </cell>
          <cell r="I249" t="str">
            <v xml:space="preserve">   Institutional Member Months Total</v>
          </cell>
          <cell r="J249">
            <v>0</v>
          </cell>
          <cell r="K249">
            <v>111.25999999999999</v>
          </cell>
          <cell r="L249">
            <v>0</v>
          </cell>
          <cell r="M249">
            <v>25.259999999999998</v>
          </cell>
          <cell r="N249">
            <v>0</v>
          </cell>
          <cell r="O249">
            <v>136.51999999999998</v>
          </cell>
          <cell r="Q249" t="str">
            <v xml:space="preserve">   Institutional Member Months Total</v>
          </cell>
          <cell r="R249">
            <v>0</v>
          </cell>
          <cell r="S249">
            <v>111.25999999999999</v>
          </cell>
          <cell r="T249">
            <v>0</v>
          </cell>
          <cell r="U249">
            <v>25.259999999999998</v>
          </cell>
          <cell r="V249">
            <v>0</v>
          </cell>
          <cell r="W249">
            <v>136.51999999999998</v>
          </cell>
          <cell r="Y249" t="str">
            <v xml:space="preserve">   Institutional Member Months Total</v>
          </cell>
          <cell r="Z249">
            <v>0</v>
          </cell>
          <cell r="AA249">
            <v>111.25999999999999</v>
          </cell>
          <cell r="AB249">
            <v>0</v>
          </cell>
          <cell r="AC249">
            <v>25.259999999999998</v>
          </cell>
          <cell r="AD249">
            <v>0</v>
          </cell>
          <cell r="AE249">
            <v>136.51999999999998</v>
          </cell>
        </row>
        <row r="250">
          <cell r="A250" t="str">
            <v xml:space="preserve">   1.  Level I</v>
          </cell>
          <cell r="B250">
            <v>64.41</v>
          </cell>
          <cell r="C250">
            <v>64.41</v>
          </cell>
          <cell r="D250">
            <v>22.259999999999998</v>
          </cell>
          <cell r="E250">
            <v>22.259999999999998</v>
          </cell>
          <cell r="F250">
            <v>86.67</v>
          </cell>
          <cell r="G250">
            <v>86.67</v>
          </cell>
          <cell r="I250" t="str">
            <v xml:space="preserve">   1.  Level I</v>
          </cell>
          <cell r="J250">
            <v>0</v>
          </cell>
          <cell r="K250">
            <v>64.41</v>
          </cell>
          <cell r="L250">
            <v>0</v>
          </cell>
          <cell r="M250">
            <v>22.259999999999998</v>
          </cell>
          <cell r="N250">
            <v>0</v>
          </cell>
          <cell r="O250">
            <v>86.67</v>
          </cell>
          <cell r="Q250" t="str">
            <v xml:space="preserve">   1.  Level I</v>
          </cell>
          <cell r="R250">
            <v>0</v>
          </cell>
          <cell r="S250">
            <v>64.41</v>
          </cell>
          <cell r="T250">
            <v>0</v>
          </cell>
          <cell r="U250">
            <v>22.259999999999998</v>
          </cell>
          <cell r="V250">
            <v>0</v>
          </cell>
          <cell r="W250">
            <v>86.67</v>
          </cell>
          <cell r="Y250" t="str">
            <v xml:space="preserve">   1.  Level I</v>
          </cell>
          <cell r="Z250">
            <v>0</v>
          </cell>
          <cell r="AA250">
            <v>64.41</v>
          </cell>
          <cell r="AB250">
            <v>0</v>
          </cell>
          <cell r="AC250">
            <v>22.259999999999998</v>
          </cell>
          <cell r="AD250">
            <v>0</v>
          </cell>
          <cell r="AE250">
            <v>86.67</v>
          </cell>
        </row>
        <row r="251">
          <cell r="A251" t="str">
            <v xml:space="preserve">   2.  Level II</v>
          </cell>
          <cell r="B251">
            <v>39.450000000000003</v>
          </cell>
          <cell r="C251">
            <v>39.450000000000003</v>
          </cell>
          <cell r="D251">
            <v>3</v>
          </cell>
          <cell r="E251">
            <v>3</v>
          </cell>
          <cell r="F251">
            <v>42.45</v>
          </cell>
          <cell r="G251">
            <v>42.45</v>
          </cell>
          <cell r="I251" t="str">
            <v xml:space="preserve">   2.  Level II</v>
          </cell>
          <cell r="J251">
            <v>0</v>
          </cell>
          <cell r="K251">
            <v>39.450000000000003</v>
          </cell>
          <cell r="L251">
            <v>0</v>
          </cell>
          <cell r="M251">
            <v>3</v>
          </cell>
          <cell r="N251">
            <v>0</v>
          </cell>
          <cell r="O251">
            <v>42.45</v>
          </cell>
          <cell r="Q251" t="str">
            <v xml:space="preserve">   2.  Level II</v>
          </cell>
          <cell r="R251">
            <v>0</v>
          </cell>
          <cell r="S251">
            <v>39.450000000000003</v>
          </cell>
          <cell r="T251">
            <v>0</v>
          </cell>
          <cell r="U251">
            <v>3</v>
          </cell>
          <cell r="V251">
            <v>0</v>
          </cell>
          <cell r="W251">
            <v>42.45</v>
          </cell>
          <cell r="Y251" t="str">
            <v xml:space="preserve">   2.  Level II</v>
          </cell>
          <cell r="Z251">
            <v>0</v>
          </cell>
          <cell r="AA251">
            <v>39.450000000000003</v>
          </cell>
          <cell r="AB251">
            <v>0</v>
          </cell>
          <cell r="AC251">
            <v>3</v>
          </cell>
          <cell r="AD251">
            <v>0</v>
          </cell>
          <cell r="AE251">
            <v>42.45</v>
          </cell>
        </row>
        <row r="252">
          <cell r="A252" t="str">
            <v xml:space="preserve">   3.  Level III</v>
          </cell>
          <cell r="B252">
            <v>0.4</v>
          </cell>
          <cell r="C252">
            <v>0.4</v>
          </cell>
          <cell r="D252">
            <v>0</v>
          </cell>
          <cell r="E252">
            <v>0</v>
          </cell>
          <cell r="F252">
            <v>0.4</v>
          </cell>
          <cell r="G252">
            <v>0.4</v>
          </cell>
          <cell r="I252" t="str">
            <v xml:space="preserve">   3.  Level III</v>
          </cell>
          <cell r="J252">
            <v>0</v>
          </cell>
          <cell r="K252">
            <v>0.4</v>
          </cell>
          <cell r="L252">
            <v>0</v>
          </cell>
          <cell r="M252">
            <v>0</v>
          </cell>
          <cell r="N252">
            <v>0</v>
          </cell>
          <cell r="O252">
            <v>0.4</v>
          </cell>
          <cell r="Q252" t="str">
            <v xml:space="preserve">   3.  Level III</v>
          </cell>
          <cell r="R252">
            <v>0</v>
          </cell>
          <cell r="S252">
            <v>0.4</v>
          </cell>
          <cell r="T252">
            <v>0</v>
          </cell>
          <cell r="U252">
            <v>0</v>
          </cell>
          <cell r="V252">
            <v>0</v>
          </cell>
          <cell r="W252">
            <v>0.4</v>
          </cell>
          <cell r="Y252" t="str">
            <v xml:space="preserve">   3.  Level III</v>
          </cell>
          <cell r="Z252">
            <v>0</v>
          </cell>
          <cell r="AA252">
            <v>0.4</v>
          </cell>
          <cell r="AB252">
            <v>0</v>
          </cell>
          <cell r="AC252">
            <v>0</v>
          </cell>
          <cell r="AD252">
            <v>0</v>
          </cell>
          <cell r="AE252">
            <v>0.4</v>
          </cell>
        </row>
        <row r="253">
          <cell r="A253" t="str">
            <v xml:space="preserve">   4.  Level IV</v>
          </cell>
          <cell r="B253">
            <v>7</v>
          </cell>
          <cell r="C253">
            <v>7</v>
          </cell>
          <cell r="D253">
            <v>0</v>
          </cell>
          <cell r="E253">
            <v>0</v>
          </cell>
          <cell r="F253">
            <v>7</v>
          </cell>
          <cell r="G253">
            <v>7</v>
          </cell>
          <cell r="I253" t="str">
            <v xml:space="preserve">   4.  Level IV</v>
          </cell>
          <cell r="J253">
            <v>0</v>
          </cell>
          <cell r="K253">
            <v>7</v>
          </cell>
          <cell r="L253">
            <v>0</v>
          </cell>
          <cell r="M253">
            <v>0</v>
          </cell>
          <cell r="N253">
            <v>0</v>
          </cell>
          <cell r="O253">
            <v>7</v>
          </cell>
          <cell r="Q253" t="str">
            <v xml:space="preserve">   4.  Level IV</v>
          </cell>
          <cell r="R253">
            <v>0</v>
          </cell>
          <cell r="S253">
            <v>7</v>
          </cell>
          <cell r="T253">
            <v>0</v>
          </cell>
          <cell r="U253">
            <v>0</v>
          </cell>
          <cell r="V253">
            <v>0</v>
          </cell>
          <cell r="W253">
            <v>7</v>
          </cell>
          <cell r="Y253" t="str">
            <v xml:space="preserve">   4.  Level IV</v>
          </cell>
          <cell r="Z253">
            <v>0</v>
          </cell>
          <cell r="AA253">
            <v>7</v>
          </cell>
          <cell r="AB253">
            <v>0</v>
          </cell>
          <cell r="AC253">
            <v>0</v>
          </cell>
          <cell r="AD253">
            <v>0</v>
          </cell>
          <cell r="AE253">
            <v>7</v>
          </cell>
        </row>
        <row r="254">
          <cell r="A254" t="str">
            <v xml:space="preserve">   5.</v>
          </cell>
          <cell r="I254" t="str">
            <v xml:space="preserve">   5.</v>
          </cell>
          <cell r="Q254" t="str">
            <v xml:space="preserve">   5.</v>
          </cell>
          <cell r="Y254" t="str">
            <v xml:space="preserve">   5.</v>
          </cell>
        </row>
        <row r="255">
          <cell r="A255" t="str">
            <v xml:space="preserve">   6.</v>
          </cell>
          <cell r="I255" t="str">
            <v xml:space="preserve">   6.</v>
          </cell>
          <cell r="Q255" t="str">
            <v xml:space="preserve">   6.</v>
          </cell>
          <cell r="Y255" t="str">
            <v xml:space="preserve">   6.</v>
          </cell>
        </row>
        <row r="256">
          <cell r="A256" t="str">
            <v xml:space="preserve">   7.  Home and Community Based Services (HCBS) Total</v>
          </cell>
          <cell r="B256">
            <v>479.68999999999994</v>
          </cell>
          <cell r="C256">
            <v>479.68999999999994</v>
          </cell>
          <cell r="D256">
            <v>135.71</v>
          </cell>
          <cell r="E256">
            <v>135.71</v>
          </cell>
          <cell r="F256">
            <v>615.4</v>
          </cell>
          <cell r="G256">
            <v>615.4</v>
          </cell>
          <cell r="I256" t="str">
            <v xml:space="preserve">   7.  Home and Community Based Services (HCBS) Total</v>
          </cell>
          <cell r="J256">
            <v>0</v>
          </cell>
          <cell r="K256">
            <v>479.68999999999994</v>
          </cell>
          <cell r="L256">
            <v>0</v>
          </cell>
          <cell r="M256">
            <v>135.71</v>
          </cell>
          <cell r="N256">
            <v>0</v>
          </cell>
          <cell r="O256">
            <v>615.4</v>
          </cell>
          <cell r="Q256" t="str">
            <v xml:space="preserve">   7.  Home and Community Based Services (HCBS) Total</v>
          </cell>
          <cell r="R256">
            <v>0</v>
          </cell>
          <cell r="S256">
            <v>479.68999999999994</v>
          </cell>
          <cell r="T256">
            <v>0</v>
          </cell>
          <cell r="U256">
            <v>135.71</v>
          </cell>
          <cell r="V256">
            <v>0</v>
          </cell>
          <cell r="W256">
            <v>615.4</v>
          </cell>
          <cell r="Y256" t="str">
            <v xml:space="preserve">   7.  Home and Community Based Services (HCBS) Total</v>
          </cell>
          <cell r="Z256">
            <v>0</v>
          </cell>
          <cell r="AA256">
            <v>479.68999999999994</v>
          </cell>
          <cell r="AB256">
            <v>0</v>
          </cell>
          <cell r="AC256">
            <v>135.71</v>
          </cell>
          <cell r="AD256">
            <v>0</v>
          </cell>
          <cell r="AE256">
            <v>615.4</v>
          </cell>
        </row>
        <row r="257">
          <cell r="A257" t="str">
            <v xml:space="preserve">       a.  Adult Foster Care</v>
          </cell>
          <cell r="B257">
            <v>0</v>
          </cell>
          <cell r="C257">
            <v>0</v>
          </cell>
          <cell r="D257">
            <v>0</v>
          </cell>
          <cell r="E257">
            <v>0</v>
          </cell>
          <cell r="F257">
            <v>0</v>
          </cell>
          <cell r="G257">
            <v>0</v>
          </cell>
          <cell r="I257" t="str">
            <v xml:space="preserve">       a.  Adult Foster Care</v>
          </cell>
          <cell r="J257">
            <v>0</v>
          </cell>
          <cell r="K257">
            <v>0</v>
          </cell>
          <cell r="L257">
            <v>0</v>
          </cell>
          <cell r="M257">
            <v>0</v>
          </cell>
          <cell r="N257">
            <v>0</v>
          </cell>
          <cell r="O257">
            <v>0</v>
          </cell>
          <cell r="Q257" t="str">
            <v xml:space="preserve">       a.  Adult Foster Care</v>
          </cell>
          <cell r="R257">
            <v>0</v>
          </cell>
          <cell r="S257">
            <v>0</v>
          </cell>
          <cell r="T257">
            <v>0</v>
          </cell>
          <cell r="U257">
            <v>0</v>
          </cell>
          <cell r="V257">
            <v>0</v>
          </cell>
          <cell r="W257">
            <v>0</v>
          </cell>
          <cell r="Y257" t="str">
            <v xml:space="preserve">       a.  Adult Foster Care</v>
          </cell>
          <cell r="Z257">
            <v>0</v>
          </cell>
          <cell r="AA257">
            <v>0</v>
          </cell>
          <cell r="AB257">
            <v>0</v>
          </cell>
          <cell r="AC257">
            <v>0</v>
          </cell>
          <cell r="AD257">
            <v>0</v>
          </cell>
          <cell r="AE257">
            <v>0</v>
          </cell>
        </row>
        <row r="258">
          <cell r="A258" t="str">
            <v xml:space="preserve">       b.  Assisted Living Home (Adult Care Home)</v>
          </cell>
          <cell r="B258">
            <v>84.77</v>
          </cell>
          <cell r="C258">
            <v>84.77</v>
          </cell>
          <cell r="D258">
            <v>12</v>
          </cell>
          <cell r="E258">
            <v>12</v>
          </cell>
          <cell r="F258">
            <v>96.769999999999982</v>
          </cell>
          <cell r="G258">
            <v>96.769999999999982</v>
          </cell>
          <cell r="I258" t="str">
            <v xml:space="preserve">       b.  Assisted Living Home (Adult Care Home)</v>
          </cell>
          <cell r="J258">
            <v>0</v>
          </cell>
          <cell r="K258">
            <v>84.77</v>
          </cell>
          <cell r="L258">
            <v>0</v>
          </cell>
          <cell r="M258">
            <v>12</v>
          </cell>
          <cell r="N258">
            <v>0</v>
          </cell>
          <cell r="O258">
            <v>96.769999999999982</v>
          </cell>
          <cell r="Q258" t="str">
            <v xml:space="preserve">       b.  Assisted Living Home (Adult Care Home)</v>
          </cell>
          <cell r="R258">
            <v>0</v>
          </cell>
          <cell r="S258">
            <v>84.77</v>
          </cell>
          <cell r="T258">
            <v>0</v>
          </cell>
          <cell r="U258">
            <v>12</v>
          </cell>
          <cell r="V258">
            <v>0</v>
          </cell>
          <cell r="W258">
            <v>96.769999999999982</v>
          </cell>
          <cell r="Y258" t="str">
            <v xml:space="preserve">       b.  Assisted Living Home (Adult Care Home)</v>
          </cell>
          <cell r="Z258">
            <v>0</v>
          </cell>
          <cell r="AA258">
            <v>84.77</v>
          </cell>
          <cell r="AB258">
            <v>0</v>
          </cell>
          <cell r="AC258">
            <v>12</v>
          </cell>
          <cell r="AD258">
            <v>0</v>
          </cell>
          <cell r="AE258">
            <v>96.769999999999982</v>
          </cell>
        </row>
        <row r="259">
          <cell r="A259" t="str">
            <v xml:space="preserve">       c.  Group Home (DD)</v>
          </cell>
          <cell r="B259">
            <v>0</v>
          </cell>
          <cell r="C259">
            <v>0</v>
          </cell>
          <cell r="D259">
            <v>0</v>
          </cell>
          <cell r="E259">
            <v>0</v>
          </cell>
          <cell r="F259">
            <v>0</v>
          </cell>
          <cell r="G259">
            <v>0</v>
          </cell>
          <cell r="I259" t="str">
            <v xml:space="preserve">       c.  Group Home (DD)</v>
          </cell>
          <cell r="J259">
            <v>0</v>
          </cell>
          <cell r="K259">
            <v>0</v>
          </cell>
          <cell r="L259">
            <v>0</v>
          </cell>
          <cell r="M259">
            <v>0</v>
          </cell>
          <cell r="N259">
            <v>0</v>
          </cell>
          <cell r="O259">
            <v>0</v>
          </cell>
          <cell r="Q259" t="str">
            <v xml:space="preserve">       c.  Group Home (DD)</v>
          </cell>
          <cell r="R259">
            <v>0</v>
          </cell>
          <cell r="S259">
            <v>0</v>
          </cell>
          <cell r="T259">
            <v>0</v>
          </cell>
          <cell r="U259">
            <v>0</v>
          </cell>
          <cell r="V259">
            <v>0</v>
          </cell>
          <cell r="W259">
            <v>0</v>
          </cell>
          <cell r="Y259" t="str">
            <v xml:space="preserve">       c.  Group Home (DD)</v>
          </cell>
          <cell r="Z259">
            <v>0</v>
          </cell>
          <cell r="AA259">
            <v>0</v>
          </cell>
          <cell r="AB259">
            <v>0</v>
          </cell>
          <cell r="AC259">
            <v>0</v>
          </cell>
          <cell r="AD259">
            <v>0</v>
          </cell>
          <cell r="AE259">
            <v>0</v>
          </cell>
        </row>
        <row r="260">
          <cell r="A260" t="str">
            <v xml:space="preserve">       d.  Individual Home</v>
          </cell>
          <cell r="B260">
            <v>196.08</v>
          </cell>
          <cell r="C260">
            <v>196.08</v>
          </cell>
          <cell r="D260">
            <v>78.42</v>
          </cell>
          <cell r="E260">
            <v>78.42</v>
          </cell>
          <cell r="F260">
            <v>274.5</v>
          </cell>
          <cell r="G260">
            <v>274.5</v>
          </cell>
          <cell r="I260" t="str">
            <v xml:space="preserve">       d.  Individual Home</v>
          </cell>
          <cell r="J260">
            <v>0</v>
          </cell>
          <cell r="K260">
            <v>196.08</v>
          </cell>
          <cell r="L260">
            <v>0</v>
          </cell>
          <cell r="M260">
            <v>78.42</v>
          </cell>
          <cell r="N260">
            <v>0</v>
          </cell>
          <cell r="O260">
            <v>274.5</v>
          </cell>
          <cell r="Q260" t="str">
            <v xml:space="preserve">       d.  Individual Home</v>
          </cell>
          <cell r="R260">
            <v>0</v>
          </cell>
          <cell r="S260">
            <v>196.08</v>
          </cell>
          <cell r="T260">
            <v>0</v>
          </cell>
          <cell r="U260">
            <v>78.42</v>
          </cell>
          <cell r="V260">
            <v>0</v>
          </cell>
          <cell r="W260">
            <v>274.5</v>
          </cell>
          <cell r="Y260" t="str">
            <v xml:space="preserve">       d.  Individual Home</v>
          </cell>
          <cell r="Z260">
            <v>0</v>
          </cell>
          <cell r="AA260">
            <v>196.08</v>
          </cell>
          <cell r="AB260">
            <v>0</v>
          </cell>
          <cell r="AC260">
            <v>78.42</v>
          </cell>
          <cell r="AD260">
            <v>0</v>
          </cell>
          <cell r="AE260">
            <v>274.5</v>
          </cell>
        </row>
        <row r="261">
          <cell r="A261" t="str">
            <v xml:space="preserve">       e.  Assisted Living Centers (SRL)</v>
          </cell>
          <cell r="B261">
            <v>57.95</v>
          </cell>
          <cell r="C261">
            <v>57.95</v>
          </cell>
          <cell r="D261">
            <v>9.8000000000000007</v>
          </cell>
          <cell r="E261">
            <v>9.8000000000000007</v>
          </cell>
          <cell r="F261">
            <v>67.75</v>
          </cell>
          <cell r="G261">
            <v>67.75</v>
          </cell>
          <cell r="I261" t="str">
            <v xml:space="preserve">       e.  Assisted Living Centers (SRL)</v>
          </cell>
          <cell r="J261">
            <v>0</v>
          </cell>
          <cell r="K261">
            <v>57.95</v>
          </cell>
          <cell r="L261">
            <v>0</v>
          </cell>
          <cell r="M261">
            <v>9.8000000000000007</v>
          </cell>
          <cell r="N261">
            <v>0</v>
          </cell>
          <cell r="O261">
            <v>67.75</v>
          </cell>
          <cell r="Q261" t="str">
            <v xml:space="preserve">       e.  Assisted Living Centers (SRL)</v>
          </cell>
          <cell r="R261">
            <v>0</v>
          </cell>
          <cell r="S261">
            <v>57.95</v>
          </cell>
          <cell r="T261">
            <v>0</v>
          </cell>
          <cell r="U261">
            <v>9.8000000000000007</v>
          </cell>
          <cell r="V261">
            <v>0</v>
          </cell>
          <cell r="W261">
            <v>67.75</v>
          </cell>
          <cell r="Y261" t="str">
            <v xml:space="preserve">       e.  Assisted Living Centers (SRL)</v>
          </cell>
          <cell r="Z261">
            <v>0</v>
          </cell>
          <cell r="AA261">
            <v>57.95</v>
          </cell>
          <cell r="AB261">
            <v>0</v>
          </cell>
          <cell r="AC261">
            <v>9.8000000000000007</v>
          </cell>
          <cell r="AD261">
            <v>0</v>
          </cell>
          <cell r="AE261">
            <v>67.75</v>
          </cell>
        </row>
        <row r="262">
          <cell r="A262" t="str">
            <v xml:space="preserve">       f.  Other (Hospice)</v>
          </cell>
          <cell r="B262">
            <v>16.420000000000002</v>
          </cell>
          <cell r="C262">
            <v>16.420000000000002</v>
          </cell>
          <cell r="D262">
            <v>6.49</v>
          </cell>
          <cell r="E262">
            <v>6.49</v>
          </cell>
          <cell r="F262">
            <v>22.91</v>
          </cell>
          <cell r="G262">
            <v>22.91</v>
          </cell>
          <cell r="I262" t="str">
            <v xml:space="preserve">       f.  Other (Hospice)</v>
          </cell>
          <cell r="J262">
            <v>0</v>
          </cell>
          <cell r="K262">
            <v>16.420000000000002</v>
          </cell>
          <cell r="L262">
            <v>0</v>
          </cell>
          <cell r="M262">
            <v>6.49</v>
          </cell>
          <cell r="N262">
            <v>0</v>
          </cell>
          <cell r="O262">
            <v>22.91</v>
          </cell>
          <cell r="Q262" t="str">
            <v xml:space="preserve">       f.  Other (Hospice)</v>
          </cell>
          <cell r="R262">
            <v>0</v>
          </cell>
          <cell r="S262">
            <v>16.420000000000002</v>
          </cell>
          <cell r="T262">
            <v>0</v>
          </cell>
          <cell r="U262">
            <v>6.49</v>
          </cell>
          <cell r="V262">
            <v>0</v>
          </cell>
          <cell r="W262">
            <v>22.91</v>
          </cell>
          <cell r="Y262" t="str">
            <v xml:space="preserve">       f.  Other (Hospice)</v>
          </cell>
          <cell r="Z262">
            <v>0</v>
          </cell>
          <cell r="AA262">
            <v>16.420000000000002</v>
          </cell>
          <cell r="AB262">
            <v>0</v>
          </cell>
          <cell r="AC262">
            <v>6.49</v>
          </cell>
          <cell r="AD262">
            <v>0</v>
          </cell>
          <cell r="AE262">
            <v>22.91</v>
          </cell>
        </row>
        <row r="263">
          <cell r="A263" t="str">
            <v xml:space="preserve">       g.  Attendant Care</v>
          </cell>
          <cell r="B263">
            <v>124.47</v>
          </cell>
          <cell r="C263">
            <v>124.47</v>
          </cell>
          <cell r="D263">
            <v>29</v>
          </cell>
          <cell r="E263">
            <v>29</v>
          </cell>
          <cell r="F263">
            <v>153.47</v>
          </cell>
          <cell r="G263">
            <v>153.47</v>
          </cell>
          <cell r="I263" t="str">
            <v xml:space="preserve">       g.  Attendant Care</v>
          </cell>
          <cell r="J263">
            <v>0</v>
          </cell>
          <cell r="K263">
            <v>124.47</v>
          </cell>
          <cell r="L263">
            <v>0</v>
          </cell>
          <cell r="M263">
            <v>29</v>
          </cell>
          <cell r="N263">
            <v>0</v>
          </cell>
          <cell r="O263">
            <v>153.47</v>
          </cell>
          <cell r="Q263" t="str">
            <v xml:space="preserve">       g.  Attendant Care</v>
          </cell>
          <cell r="R263">
            <v>0</v>
          </cell>
          <cell r="S263">
            <v>124.47</v>
          </cell>
          <cell r="T263">
            <v>0</v>
          </cell>
          <cell r="U263">
            <v>29</v>
          </cell>
          <cell r="V263">
            <v>0</v>
          </cell>
          <cell r="W263">
            <v>153.47</v>
          </cell>
          <cell r="Y263" t="str">
            <v xml:space="preserve">       g.  Attendant Care</v>
          </cell>
          <cell r="Z263">
            <v>0</v>
          </cell>
          <cell r="AA263">
            <v>124.47</v>
          </cell>
          <cell r="AB263">
            <v>0</v>
          </cell>
          <cell r="AC263">
            <v>29</v>
          </cell>
          <cell r="AD263">
            <v>0</v>
          </cell>
          <cell r="AE263">
            <v>153.47</v>
          </cell>
        </row>
        <row r="264">
          <cell r="A264" t="str">
            <v xml:space="preserve">   8.  Acute Care</v>
          </cell>
          <cell r="B264">
            <v>4.57</v>
          </cell>
          <cell r="C264">
            <v>4.57</v>
          </cell>
          <cell r="D264">
            <v>0</v>
          </cell>
          <cell r="E264">
            <v>0</v>
          </cell>
          <cell r="F264">
            <v>4.57</v>
          </cell>
          <cell r="G264">
            <v>4.57</v>
          </cell>
          <cell r="I264" t="str">
            <v xml:space="preserve">   8.  Acute Care</v>
          </cell>
          <cell r="J264">
            <v>0</v>
          </cell>
          <cell r="K264">
            <v>4.57</v>
          </cell>
          <cell r="L264">
            <v>0</v>
          </cell>
          <cell r="M264">
            <v>0</v>
          </cell>
          <cell r="N264">
            <v>0</v>
          </cell>
          <cell r="O264">
            <v>4.57</v>
          </cell>
          <cell r="Q264" t="str">
            <v xml:space="preserve">   8.  Acute Care</v>
          </cell>
          <cell r="R264">
            <v>0</v>
          </cell>
          <cell r="S264">
            <v>4.57</v>
          </cell>
          <cell r="T264">
            <v>0</v>
          </cell>
          <cell r="U264">
            <v>0</v>
          </cell>
          <cell r="V264">
            <v>0</v>
          </cell>
          <cell r="W264">
            <v>4.57</v>
          </cell>
          <cell r="Y264" t="str">
            <v xml:space="preserve">   8.  Acute Care</v>
          </cell>
          <cell r="Z264">
            <v>0</v>
          </cell>
          <cell r="AA264">
            <v>4.57</v>
          </cell>
          <cell r="AB264">
            <v>0</v>
          </cell>
          <cell r="AC264">
            <v>0</v>
          </cell>
          <cell r="AD264">
            <v>0</v>
          </cell>
          <cell r="AE264">
            <v>4.57</v>
          </cell>
        </row>
        <row r="265">
          <cell r="A265" t="str">
            <v xml:space="preserve">   9.  Ventilator</v>
          </cell>
          <cell r="B265">
            <v>4</v>
          </cell>
          <cell r="C265">
            <v>4</v>
          </cell>
          <cell r="D265">
            <v>3</v>
          </cell>
          <cell r="E265">
            <v>3</v>
          </cell>
          <cell r="F265">
            <v>7</v>
          </cell>
          <cell r="G265">
            <v>7</v>
          </cell>
          <cell r="I265" t="str">
            <v xml:space="preserve">   9.  Ventilator</v>
          </cell>
          <cell r="J265">
            <v>0</v>
          </cell>
          <cell r="K265">
            <v>4</v>
          </cell>
          <cell r="L265">
            <v>0</v>
          </cell>
          <cell r="M265">
            <v>3</v>
          </cell>
          <cell r="N265">
            <v>0</v>
          </cell>
          <cell r="O265">
            <v>7</v>
          </cell>
          <cell r="Q265" t="str">
            <v xml:space="preserve">   9.  Ventilator</v>
          </cell>
          <cell r="R265">
            <v>0</v>
          </cell>
          <cell r="S265">
            <v>4</v>
          </cell>
          <cell r="T265">
            <v>0</v>
          </cell>
          <cell r="U265">
            <v>3</v>
          </cell>
          <cell r="V265">
            <v>0</v>
          </cell>
          <cell r="W265">
            <v>7</v>
          </cell>
          <cell r="Y265" t="str">
            <v xml:space="preserve">   9.  Ventilator</v>
          </cell>
          <cell r="Z265">
            <v>0</v>
          </cell>
          <cell r="AA265">
            <v>4</v>
          </cell>
          <cell r="AB265">
            <v>0</v>
          </cell>
          <cell r="AC265">
            <v>3</v>
          </cell>
          <cell r="AD265">
            <v>0</v>
          </cell>
          <cell r="AE265">
            <v>7</v>
          </cell>
        </row>
        <row r="266">
          <cell r="A266" t="str">
            <v xml:space="preserve">  10.  Prior Period</v>
          </cell>
          <cell r="B266">
            <v>21.099999999999998</v>
          </cell>
          <cell r="C266">
            <v>21.099999999999998</v>
          </cell>
          <cell r="D266">
            <v>3.2300000000000002E-2</v>
          </cell>
          <cell r="E266">
            <v>3.2300000000000002E-2</v>
          </cell>
          <cell r="F266">
            <v>21.132300000000001</v>
          </cell>
          <cell r="G266">
            <v>21.132300000000001</v>
          </cell>
          <cell r="I266" t="str">
            <v xml:space="preserve">  10.  Prior Period</v>
          </cell>
          <cell r="J266">
            <v>0</v>
          </cell>
          <cell r="K266">
            <v>21.099999999999998</v>
          </cell>
          <cell r="L266">
            <v>0</v>
          </cell>
          <cell r="M266">
            <v>3.2300000000000002E-2</v>
          </cell>
          <cell r="N266">
            <v>0</v>
          </cell>
          <cell r="O266">
            <v>21.132300000000001</v>
          </cell>
          <cell r="Q266" t="str">
            <v xml:space="preserve">  10.  Prior Period</v>
          </cell>
          <cell r="R266">
            <v>0</v>
          </cell>
          <cell r="S266">
            <v>21.099999999999998</v>
          </cell>
          <cell r="T266">
            <v>0</v>
          </cell>
          <cell r="U266">
            <v>3.2300000000000002E-2</v>
          </cell>
          <cell r="V266">
            <v>0</v>
          </cell>
          <cell r="W266">
            <v>21.132300000000001</v>
          </cell>
          <cell r="Y266" t="str">
            <v xml:space="preserve">  10.  Prior Period</v>
          </cell>
          <cell r="Z266">
            <v>0</v>
          </cell>
          <cell r="AA266">
            <v>21.099999999999998</v>
          </cell>
          <cell r="AB266">
            <v>0</v>
          </cell>
          <cell r="AC266">
            <v>3.2300000000000002E-2</v>
          </cell>
          <cell r="AD266">
            <v>0</v>
          </cell>
          <cell r="AE266">
            <v>21.132300000000001</v>
          </cell>
        </row>
        <row r="267">
          <cell r="A267" t="str">
            <v xml:space="preserve">  11.  Other - Not Placed</v>
          </cell>
          <cell r="B267">
            <v>-31.769999999999996</v>
          </cell>
          <cell r="C267">
            <v>-31.769999999999996</v>
          </cell>
          <cell r="D267">
            <v>-18.259999999999998</v>
          </cell>
          <cell r="E267">
            <v>-18.259999999999998</v>
          </cell>
          <cell r="F267">
            <v>-50.03</v>
          </cell>
          <cell r="G267">
            <v>-50.03</v>
          </cell>
          <cell r="I267" t="str">
            <v xml:space="preserve">  11.  Other - Not Placed</v>
          </cell>
          <cell r="J267">
            <v>0</v>
          </cell>
          <cell r="K267">
            <v>-31.769999999999996</v>
          </cell>
          <cell r="L267">
            <v>0</v>
          </cell>
          <cell r="M267">
            <v>-18.259999999999998</v>
          </cell>
          <cell r="N267">
            <v>0</v>
          </cell>
          <cell r="O267">
            <v>-50.03</v>
          </cell>
          <cell r="Q267" t="str">
            <v xml:space="preserve">  11.  Other - Not Placed</v>
          </cell>
          <cell r="R267">
            <v>0</v>
          </cell>
          <cell r="S267">
            <v>-31.769999999999996</v>
          </cell>
          <cell r="T267">
            <v>0</v>
          </cell>
          <cell r="U267">
            <v>-18.259999999999998</v>
          </cell>
          <cell r="V267">
            <v>0</v>
          </cell>
          <cell r="W267">
            <v>-50.03</v>
          </cell>
          <cell r="Y267" t="str">
            <v xml:space="preserve">  11.  Other - Not Placed</v>
          </cell>
          <cell r="Z267">
            <v>0</v>
          </cell>
          <cell r="AA267">
            <v>-31.769999999999996</v>
          </cell>
          <cell r="AB267">
            <v>0</v>
          </cell>
          <cell r="AC267">
            <v>-18.259999999999998</v>
          </cell>
          <cell r="AD267">
            <v>0</v>
          </cell>
          <cell r="AE267">
            <v>-50.03</v>
          </cell>
        </row>
        <row r="269">
          <cell r="A269" t="str">
            <v>C.   Acute Patient Day Information</v>
          </cell>
          <cell r="I269" t="str">
            <v>C.   Acute Patient Day Information</v>
          </cell>
          <cell r="Q269" t="str">
            <v>C.   Acute Patient Day Information</v>
          </cell>
          <cell r="Y269" t="str">
            <v>C.   Acute Patient Day Information</v>
          </cell>
        </row>
        <row r="270">
          <cell r="A270" t="str">
            <v xml:space="preserve">       a.  Admissions</v>
          </cell>
          <cell r="B270">
            <v>34</v>
          </cell>
          <cell r="C270">
            <v>34</v>
          </cell>
          <cell r="D270">
            <v>7</v>
          </cell>
          <cell r="E270">
            <v>7</v>
          </cell>
          <cell r="F270">
            <v>41</v>
          </cell>
          <cell r="G270">
            <v>41</v>
          </cell>
          <cell r="I270" t="str">
            <v xml:space="preserve">       a.  Admissions</v>
          </cell>
          <cell r="J270">
            <v>0</v>
          </cell>
          <cell r="K270">
            <v>34</v>
          </cell>
          <cell r="L270">
            <v>0</v>
          </cell>
          <cell r="M270">
            <v>7</v>
          </cell>
          <cell r="N270">
            <v>0</v>
          </cell>
          <cell r="O270">
            <v>41</v>
          </cell>
          <cell r="Q270" t="str">
            <v xml:space="preserve">       a.  Admissions</v>
          </cell>
          <cell r="R270">
            <v>0</v>
          </cell>
          <cell r="S270">
            <v>34</v>
          </cell>
          <cell r="T270">
            <v>0</v>
          </cell>
          <cell r="U270">
            <v>7</v>
          </cell>
          <cell r="V270">
            <v>0</v>
          </cell>
          <cell r="W270">
            <v>41</v>
          </cell>
          <cell r="Y270" t="str">
            <v xml:space="preserve">       a.  Admissions</v>
          </cell>
          <cell r="Z270">
            <v>0</v>
          </cell>
          <cell r="AA270">
            <v>34</v>
          </cell>
          <cell r="AB270">
            <v>0</v>
          </cell>
          <cell r="AC270">
            <v>7</v>
          </cell>
          <cell r="AD270">
            <v>0</v>
          </cell>
          <cell r="AE270">
            <v>41</v>
          </cell>
        </row>
        <row r="271">
          <cell r="A271" t="str">
            <v xml:space="preserve">       b.  Patient Days</v>
          </cell>
          <cell r="B271">
            <v>165</v>
          </cell>
          <cell r="C271">
            <v>165</v>
          </cell>
          <cell r="D271">
            <v>52</v>
          </cell>
          <cell r="E271">
            <v>52</v>
          </cell>
          <cell r="F271">
            <v>217</v>
          </cell>
          <cell r="G271">
            <v>217</v>
          </cell>
          <cell r="I271" t="str">
            <v xml:space="preserve">       b.  Patient Days</v>
          </cell>
          <cell r="J271">
            <v>0</v>
          </cell>
          <cell r="K271">
            <v>165</v>
          </cell>
          <cell r="L271">
            <v>0</v>
          </cell>
          <cell r="M271">
            <v>52</v>
          </cell>
          <cell r="N271">
            <v>0</v>
          </cell>
          <cell r="O271">
            <v>217</v>
          </cell>
          <cell r="Q271" t="str">
            <v xml:space="preserve">       b.  Patient Days</v>
          </cell>
          <cell r="R271">
            <v>0</v>
          </cell>
          <cell r="S271">
            <v>165</v>
          </cell>
          <cell r="T271">
            <v>0</v>
          </cell>
          <cell r="U271">
            <v>52</v>
          </cell>
          <cell r="V271">
            <v>0</v>
          </cell>
          <cell r="W271">
            <v>217</v>
          </cell>
          <cell r="Y271" t="str">
            <v xml:space="preserve">       b.  Patient Days</v>
          </cell>
          <cell r="Z271">
            <v>0</v>
          </cell>
          <cell r="AA271">
            <v>165</v>
          </cell>
          <cell r="AB271">
            <v>0</v>
          </cell>
          <cell r="AC271">
            <v>52</v>
          </cell>
          <cell r="AD271">
            <v>0</v>
          </cell>
          <cell r="AE271">
            <v>217</v>
          </cell>
        </row>
        <row r="272">
          <cell r="A272" t="str">
            <v xml:space="preserve">       c.  Discharges</v>
          </cell>
          <cell r="B272">
            <v>31</v>
          </cell>
          <cell r="C272">
            <v>31</v>
          </cell>
          <cell r="D272">
            <v>7</v>
          </cell>
          <cell r="E272">
            <v>7</v>
          </cell>
          <cell r="F272">
            <v>38</v>
          </cell>
          <cell r="G272">
            <v>38</v>
          </cell>
          <cell r="I272" t="str">
            <v xml:space="preserve">       c.  Discharges</v>
          </cell>
          <cell r="J272">
            <v>0</v>
          </cell>
          <cell r="K272">
            <v>31</v>
          </cell>
          <cell r="L272">
            <v>0</v>
          </cell>
          <cell r="M272">
            <v>7</v>
          </cell>
          <cell r="N272">
            <v>0</v>
          </cell>
          <cell r="O272">
            <v>38</v>
          </cell>
          <cell r="Q272" t="str">
            <v xml:space="preserve">       c.  Discharges</v>
          </cell>
          <cell r="R272">
            <v>0</v>
          </cell>
          <cell r="S272">
            <v>31</v>
          </cell>
          <cell r="T272">
            <v>0</v>
          </cell>
          <cell r="U272">
            <v>7</v>
          </cell>
          <cell r="V272">
            <v>0</v>
          </cell>
          <cell r="W272">
            <v>38</v>
          </cell>
          <cell r="Y272" t="str">
            <v xml:space="preserve">       c.  Discharges</v>
          </cell>
          <cell r="Z272">
            <v>0</v>
          </cell>
          <cell r="AA272">
            <v>31</v>
          </cell>
          <cell r="AB272">
            <v>0</v>
          </cell>
          <cell r="AC272">
            <v>7</v>
          </cell>
          <cell r="AD272">
            <v>0</v>
          </cell>
          <cell r="AE272">
            <v>38</v>
          </cell>
        </row>
        <row r="273">
          <cell r="A273" t="str">
            <v xml:space="preserve">       d.  Discharge Days</v>
          </cell>
          <cell r="B273">
            <v>128</v>
          </cell>
          <cell r="C273">
            <v>128</v>
          </cell>
          <cell r="D273">
            <v>33</v>
          </cell>
          <cell r="E273">
            <v>33</v>
          </cell>
          <cell r="F273">
            <v>161</v>
          </cell>
          <cell r="G273">
            <v>161</v>
          </cell>
          <cell r="I273" t="str">
            <v xml:space="preserve">       d.  Discharge Days</v>
          </cell>
          <cell r="J273">
            <v>0</v>
          </cell>
          <cell r="K273">
            <v>128</v>
          </cell>
          <cell r="L273">
            <v>0</v>
          </cell>
          <cell r="M273">
            <v>33</v>
          </cell>
          <cell r="N273">
            <v>0</v>
          </cell>
          <cell r="O273">
            <v>161</v>
          </cell>
          <cell r="Q273" t="str">
            <v xml:space="preserve">       d.  Discharge Days</v>
          </cell>
          <cell r="R273">
            <v>0</v>
          </cell>
          <cell r="S273">
            <v>128</v>
          </cell>
          <cell r="T273">
            <v>0</v>
          </cell>
          <cell r="U273">
            <v>33</v>
          </cell>
          <cell r="V273">
            <v>0</v>
          </cell>
          <cell r="W273">
            <v>161</v>
          </cell>
          <cell r="Y273" t="str">
            <v xml:space="preserve">       d.  Discharge Days</v>
          </cell>
          <cell r="Z273">
            <v>0</v>
          </cell>
          <cell r="AA273">
            <v>128</v>
          </cell>
          <cell r="AB273">
            <v>0</v>
          </cell>
          <cell r="AC273">
            <v>33</v>
          </cell>
          <cell r="AD273">
            <v>0</v>
          </cell>
          <cell r="AE273">
            <v>161</v>
          </cell>
        </row>
        <row r="274">
          <cell r="A274" t="str">
            <v xml:space="preserve">       e.  Average Length of Stay</v>
          </cell>
          <cell r="B274">
            <v>4.129032258064516</v>
          </cell>
          <cell r="C274">
            <v>4.129032258064516</v>
          </cell>
          <cell r="D274">
            <v>4.7142857142857144</v>
          </cell>
          <cell r="E274">
            <v>4.7142857142857144</v>
          </cell>
          <cell r="F274">
            <v>4.2368421052631575</v>
          </cell>
          <cell r="G274">
            <v>4.2368421052631575</v>
          </cell>
          <cell r="I274" t="str">
            <v xml:space="preserve">       e.  Average Length of Stay</v>
          </cell>
          <cell r="J274">
            <v>0</v>
          </cell>
          <cell r="K274">
            <v>4.129032258064516</v>
          </cell>
          <cell r="L274">
            <v>0</v>
          </cell>
          <cell r="M274">
            <v>4.7142857142857144</v>
          </cell>
          <cell r="N274">
            <v>0</v>
          </cell>
          <cell r="O274">
            <v>4.2368421052631575</v>
          </cell>
          <cell r="Q274" t="str">
            <v xml:space="preserve">       e.  Average Length of Stay</v>
          </cell>
          <cell r="R274">
            <v>0</v>
          </cell>
          <cell r="S274">
            <v>4.129032258064516</v>
          </cell>
          <cell r="T274">
            <v>0</v>
          </cell>
          <cell r="U274">
            <v>4.7142857142857144</v>
          </cell>
          <cell r="V274">
            <v>0</v>
          </cell>
          <cell r="W274">
            <v>4.2368421052631575</v>
          </cell>
          <cell r="Y274" t="str">
            <v xml:space="preserve">       e.  Average Length of Stay</v>
          </cell>
          <cell r="Z274">
            <v>0</v>
          </cell>
          <cell r="AA274">
            <v>4.129032258064516</v>
          </cell>
          <cell r="AB274">
            <v>0</v>
          </cell>
          <cell r="AC274">
            <v>4.7142857142857144</v>
          </cell>
          <cell r="AD274">
            <v>0</v>
          </cell>
          <cell r="AE274">
            <v>4.2368421052631575</v>
          </cell>
        </row>
        <row r="276">
          <cell r="A276" t="str">
            <v>D.   Emergency Room Visits</v>
          </cell>
          <cell r="B276">
            <v>27</v>
          </cell>
          <cell r="C276">
            <v>27</v>
          </cell>
          <cell r="D276">
            <v>12</v>
          </cell>
          <cell r="E276">
            <v>12</v>
          </cell>
          <cell r="F276">
            <v>39</v>
          </cell>
          <cell r="G276">
            <v>39</v>
          </cell>
          <cell r="I276" t="str">
            <v>D.   Emergency Room Visits</v>
          </cell>
          <cell r="J276">
            <v>0</v>
          </cell>
          <cell r="K276">
            <v>27</v>
          </cell>
          <cell r="L276">
            <v>0</v>
          </cell>
          <cell r="M276">
            <v>12</v>
          </cell>
          <cell r="N276">
            <v>0</v>
          </cell>
          <cell r="O276">
            <v>39</v>
          </cell>
          <cell r="Q276" t="str">
            <v>D.   Emergency Room Visits</v>
          </cell>
          <cell r="R276">
            <v>0</v>
          </cell>
          <cell r="S276">
            <v>27</v>
          </cell>
          <cell r="T276">
            <v>0</v>
          </cell>
          <cell r="U276">
            <v>12</v>
          </cell>
          <cell r="V276">
            <v>0</v>
          </cell>
          <cell r="W276">
            <v>39</v>
          </cell>
          <cell r="Y276" t="str">
            <v>D.   Emergency Room Visits</v>
          </cell>
          <cell r="Z276">
            <v>0</v>
          </cell>
          <cell r="AA276">
            <v>27</v>
          </cell>
          <cell r="AB276">
            <v>0</v>
          </cell>
          <cell r="AC276">
            <v>12</v>
          </cell>
          <cell r="AD276">
            <v>0</v>
          </cell>
          <cell r="AE276">
            <v>39</v>
          </cell>
        </row>
        <row r="280">
          <cell r="A280" t="str">
            <v>Program Contractor Financial Reporting Systems - Report #11C Utilization Data Report Consolidated by County</v>
          </cell>
          <cell r="I280" t="str">
            <v>Program Contractor Financial Reporting Systems - Report #11C Utilization Data Report Consolidated by County</v>
          </cell>
          <cell r="Q280" t="str">
            <v>Program Contractor Financial Reporting Systems - Report #11C Utilization Data Report Consolidated by County</v>
          </cell>
          <cell r="Y280" t="str">
            <v>Program Contractor Financial Reporting Systems - Report #11C Utilization Data Report Consolidated by County</v>
          </cell>
        </row>
        <row r="282">
          <cell r="A282" t="str">
            <v>Statement for Program Contractor 110049 - Evercare of Arizona, Inc.</v>
          </cell>
          <cell r="F282" t="str">
            <v>County:</v>
          </cell>
          <cell r="G282" t="str">
            <v>Yuma</v>
          </cell>
          <cell r="I282" t="str">
            <v>Statement for Program Contractor 110049 - Evercare of Arizona, Inc.</v>
          </cell>
          <cell r="N282" t="str">
            <v>County:</v>
          </cell>
          <cell r="O282" t="str">
            <v>Yuma</v>
          </cell>
          <cell r="Q282" t="str">
            <v>Statement for Program Contractor 110049 - Evercare of Arizona, Inc.</v>
          </cell>
          <cell r="V282" t="str">
            <v>County:</v>
          </cell>
          <cell r="W282" t="str">
            <v>Yuma</v>
          </cell>
          <cell r="Y282" t="str">
            <v>Statement for Program Contractor 110049 - Evercare of Arizona, Inc.</v>
          </cell>
          <cell r="AD282" t="str">
            <v>County:</v>
          </cell>
          <cell r="AE282" t="str">
            <v>Yuma</v>
          </cell>
        </row>
        <row r="284">
          <cell r="A284" t="str">
            <v>For the Quarter ending 12/31/2005 in the Fiscal Year ending 9/30/2006</v>
          </cell>
          <cell r="F284" t="str">
            <v>Page 7 of 8</v>
          </cell>
          <cell r="I284" t="str">
            <v>For the Quarter ending 3/31/2006 in the Fiscal Year ending 9/30/2006</v>
          </cell>
          <cell r="N284" t="str">
            <v>Page 7 of 8</v>
          </cell>
          <cell r="Q284" t="str">
            <v>For the Quarter ending 6/30/2006 in the Fiscal Year ending 9/30/2006</v>
          </cell>
          <cell r="V284" t="str">
            <v>Page 7 of 8</v>
          </cell>
          <cell r="Y284" t="str">
            <v>For the Quarter ending 9/30/2006 in the Fiscal Year ending 9/30/2006</v>
          </cell>
          <cell r="AD284" t="str">
            <v>Page 7 of 8</v>
          </cell>
        </row>
        <row r="287">
          <cell r="A287" t="str">
            <v>Utilization Data Report by County</v>
          </cell>
          <cell r="I287" t="str">
            <v>Utilization Data Report by County</v>
          </cell>
          <cell r="Q287" t="str">
            <v>Utilization Data Report by County</v>
          </cell>
          <cell r="Y287" t="str">
            <v>Utilization Data Report by County</v>
          </cell>
        </row>
        <row r="289">
          <cell r="B289" t="str">
            <v>MEDICARE</v>
          </cell>
          <cell r="D289" t="str">
            <v>NON-MEDICARE</v>
          </cell>
          <cell r="F289" t="str">
            <v>TOTAL</v>
          </cell>
          <cell r="J289" t="str">
            <v>MEDICARE</v>
          </cell>
          <cell r="L289" t="str">
            <v>NON-MEDICARE</v>
          </cell>
          <cell r="N289" t="str">
            <v>TOTAL</v>
          </cell>
          <cell r="R289" t="str">
            <v>MEDICARE</v>
          </cell>
          <cell r="T289" t="str">
            <v>NON-MEDICARE</v>
          </cell>
          <cell r="V289" t="str">
            <v>TOTAL</v>
          </cell>
          <cell r="Z289" t="str">
            <v>MEDICARE</v>
          </cell>
          <cell r="AB289" t="str">
            <v>NON-MEDICARE</v>
          </cell>
          <cell r="AD289" t="str">
            <v>TOTAL</v>
          </cell>
        </row>
        <row r="290">
          <cell r="A290" t="str">
            <v>ITEM DESCRIPTION</v>
          </cell>
          <cell r="B290" t="str">
            <v>Current</v>
          </cell>
          <cell r="D290" t="str">
            <v>Current</v>
          </cell>
          <cell r="F290" t="str">
            <v>Current</v>
          </cell>
          <cell r="I290" t="str">
            <v>ITEM DESCRIPTION</v>
          </cell>
          <cell r="J290" t="str">
            <v>Current</v>
          </cell>
          <cell r="L290" t="str">
            <v>Current</v>
          </cell>
          <cell r="N290" t="str">
            <v>Current</v>
          </cell>
          <cell r="Q290" t="str">
            <v>ITEM DESCRIPTION</v>
          </cell>
          <cell r="R290" t="str">
            <v>Current</v>
          </cell>
          <cell r="T290" t="str">
            <v>Current</v>
          </cell>
          <cell r="V290" t="str">
            <v>Current</v>
          </cell>
          <cell r="Y290" t="str">
            <v>ITEM DESCRIPTION</v>
          </cell>
          <cell r="Z290" t="str">
            <v>Current</v>
          </cell>
          <cell r="AB290" t="str">
            <v>Current</v>
          </cell>
          <cell r="AD290" t="str">
            <v>Current</v>
          </cell>
        </row>
        <row r="291">
          <cell r="B291" t="str">
            <v>Period</v>
          </cell>
          <cell r="C291" t="str">
            <v>YTD</v>
          </cell>
          <cell r="D291" t="str">
            <v>Period</v>
          </cell>
          <cell r="E291" t="str">
            <v>YTD</v>
          </cell>
          <cell r="F291" t="str">
            <v>Period</v>
          </cell>
          <cell r="G291" t="str">
            <v>YTD</v>
          </cell>
          <cell r="J291" t="str">
            <v>Period</v>
          </cell>
          <cell r="K291" t="str">
            <v>YTD</v>
          </cell>
          <cell r="L291" t="str">
            <v>Period</v>
          </cell>
          <cell r="M291" t="str">
            <v>YTD</v>
          </cell>
          <cell r="N291" t="str">
            <v>Period</v>
          </cell>
          <cell r="O291" t="str">
            <v>YTD</v>
          </cell>
          <cell r="R291" t="str">
            <v>Period</v>
          </cell>
          <cell r="S291" t="str">
            <v>YTD</v>
          </cell>
          <cell r="T291" t="str">
            <v>Period</v>
          </cell>
          <cell r="U291" t="str">
            <v>YTD</v>
          </cell>
          <cell r="V291" t="str">
            <v>Period</v>
          </cell>
          <cell r="W291" t="str">
            <v>YTD</v>
          </cell>
          <cell r="Z291" t="str">
            <v>Period</v>
          </cell>
          <cell r="AA291" t="str">
            <v>YTD</v>
          </cell>
          <cell r="AB291" t="str">
            <v>Period</v>
          </cell>
          <cell r="AC291" t="str">
            <v>YTD</v>
          </cell>
          <cell r="AD291" t="str">
            <v>Period</v>
          </cell>
          <cell r="AE291" t="str">
            <v>YTD</v>
          </cell>
        </row>
        <row r="292">
          <cell r="A292" t="str">
            <v>A.   Enrollees (At End of Period)</v>
          </cell>
          <cell r="B292">
            <v>500</v>
          </cell>
          <cell r="D292">
            <v>100</v>
          </cell>
          <cell r="F292">
            <v>600</v>
          </cell>
          <cell r="I292" t="str">
            <v>A.   Enrollees (At End of Period)</v>
          </cell>
          <cell r="J292">
            <v>0</v>
          </cell>
          <cell r="L292">
            <v>0</v>
          </cell>
          <cell r="N292">
            <v>0</v>
          </cell>
          <cell r="Q292" t="str">
            <v>A.   Enrollees (At End of Period)</v>
          </cell>
          <cell r="R292">
            <v>0</v>
          </cell>
          <cell r="T292">
            <v>0</v>
          </cell>
          <cell r="V292">
            <v>0</v>
          </cell>
          <cell r="Y292" t="str">
            <v>A.   Enrollees (At End of Period)</v>
          </cell>
          <cell r="Z292">
            <v>0</v>
          </cell>
          <cell r="AB292">
            <v>0</v>
          </cell>
          <cell r="AD292">
            <v>0</v>
          </cell>
        </row>
        <row r="294">
          <cell r="A294" t="str">
            <v>B.   Member Months (Unduplicated)</v>
          </cell>
          <cell r="B294">
            <v>1674.2218</v>
          </cell>
          <cell r="C294">
            <v>1674.2218</v>
          </cell>
          <cell r="D294">
            <v>331.96999999999997</v>
          </cell>
          <cell r="E294">
            <v>331.96999999999997</v>
          </cell>
          <cell r="F294">
            <v>2006.1918000000001</v>
          </cell>
          <cell r="G294">
            <v>2006.1918000000001</v>
          </cell>
          <cell r="I294" t="str">
            <v>B.   Member Months (Unduplicated)</v>
          </cell>
          <cell r="J294">
            <v>0</v>
          </cell>
          <cell r="K294">
            <v>1674.2218</v>
          </cell>
          <cell r="L294">
            <v>0</v>
          </cell>
          <cell r="M294">
            <v>331.96999999999997</v>
          </cell>
          <cell r="N294">
            <v>0</v>
          </cell>
          <cell r="O294">
            <v>2006.1918000000001</v>
          </cell>
          <cell r="Q294" t="str">
            <v>B.   Member Months (Unduplicated)</v>
          </cell>
          <cell r="R294">
            <v>0</v>
          </cell>
          <cell r="S294">
            <v>1674.2218</v>
          </cell>
          <cell r="T294">
            <v>0</v>
          </cell>
          <cell r="U294">
            <v>331.96999999999997</v>
          </cell>
          <cell r="V294">
            <v>0</v>
          </cell>
          <cell r="W294">
            <v>2006.1918000000001</v>
          </cell>
          <cell r="Y294" t="str">
            <v>B.   Member Months (Unduplicated)</v>
          </cell>
          <cell r="Z294">
            <v>0</v>
          </cell>
          <cell r="AA294">
            <v>1674.2218</v>
          </cell>
          <cell r="AB294">
            <v>0</v>
          </cell>
          <cell r="AC294">
            <v>331.96999999999997</v>
          </cell>
          <cell r="AD294">
            <v>0</v>
          </cell>
          <cell r="AE294">
            <v>2006.1918000000001</v>
          </cell>
        </row>
        <row r="295">
          <cell r="A295" t="str">
            <v xml:space="preserve">   Institutional Member Months Total</v>
          </cell>
          <cell r="B295">
            <v>878.52</v>
          </cell>
          <cell r="C295">
            <v>878.52</v>
          </cell>
          <cell r="D295">
            <v>113.56</v>
          </cell>
          <cell r="E295">
            <v>113.56</v>
          </cell>
          <cell r="F295">
            <v>992.08</v>
          </cell>
          <cell r="G295">
            <v>992.08</v>
          </cell>
          <cell r="I295" t="str">
            <v xml:space="preserve">   Institutional Member Months Total</v>
          </cell>
          <cell r="J295">
            <v>0</v>
          </cell>
          <cell r="K295">
            <v>878.52</v>
          </cell>
          <cell r="L295">
            <v>0</v>
          </cell>
          <cell r="M295">
            <v>113.56</v>
          </cell>
          <cell r="N295">
            <v>0</v>
          </cell>
          <cell r="O295">
            <v>992.08</v>
          </cell>
          <cell r="Q295" t="str">
            <v xml:space="preserve">   Institutional Member Months Total</v>
          </cell>
          <cell r="R295">
            <v>0</v>
          </cell>
          <cell r="S295">
            <v>878.52</v>
          </cell>
          <cell r="T295">
            <v>0</v>
          </cell>
          <cell r="U295">
            <v>113.56</v>
          </cell>
          <cell r="V295">
            <v>0</v>
          </cell>
          <cell r="W295">
            <v>992.08</v>
          </cell>
          <cell r="Y295" t="str">
            <v xml:space="preserve">   Institutional Member Months Total</v>
          </cell>
          <cell r="Z295">
            <v>0</v>
          </cell>
          <cell r="AA295">
            <v>878.52</v>
          </cell>
          <cell r="AB295">
            <v>0</v>
          </cell>
          <cell r="AC295">
            <v>113.56</v>
          </cell>
          <cell r="AD295">
            <v>0</v>
          </cell>
          <cell r="AE295">
            <v>992.08</v>
          </cell>
        </row>
        <row r="296">
          <cell r="A296" t="str">
            <v xml:space="preserve">   1.  Level I</v>
          </cell>
          <cell r="B296">
            <v>471.98</v>
          </cell>
          <cell r="C296">
            <v>471.98</v>
          </cell>
          <cell r="D296">
            <v>69.94</v>
          </cell>
          <cell r="E296">
            <v>69.94</v>
          </cell>
          <cell r="F296">
            <v>541.92000000000007</v>
          </cell>
          <cell r="G296">
            <v>541.92000000000007</v>
          </cell>
          <cell r="I296" t="str">
            <v xml:space="preserve">   1.  Level I</v>
          </cell>
          <cell r="J296">
            <v>0</v>
          </cell>
          <cell r="K296">
            <v>471.98</v>
          </cell>
          <cell r="L296">
            <v>0</v>
          </cell>
          <cell r="M296">
            <v>69.94</v>
          </cell>
          <cell r="N296">
            <v>0</v>
          </cell>
          <cell r="O296">
            <v>541.92000000000007</v>
          </cell>
          <cell r="Q296" t="str">
            <v xml:space="preserve">   1.  Level I</v>
          </cell>
          <cell r="R296">
            <v>0</v>
          </cell>
          <cell r="S296">
            <v>471.98</v>
          </cell>
          <cell r="T296">
            <v>0</v>
          </cell>
          <cell r="U296">
            <v>69.94</v>
          </cell>
          <cell r="V296">
            <v>0</v>
          </cell>
          <cell r="W296">
            <v>541.92000000000007</v>
          </cell>
          <cell r="Y296" t="str">
            <v xml:space="preserve">   1.  Level I</v>
          </cell>
          <cell r="Z296">
            <v>0</v>
          </cell>
          <cell r="AA296">
            <v>471.98</v>
          </cell>
          <cell r="AB296">
            <v>0</v>
          </cell>
          <cell r="AC296">
            <v>69.94</v>
          </cell>
          <cell r="AD296">
            <v>0</v>
          </cell>
          <cell r="AE296">
            <v>541.92000000000007</v>
          </cell>
        </row>
        <row r="297">
          <cell r="A297" t="str">
            <v xml:space="preserve">   2.  Level II</v>
          </cell>
          <cell r="B297">
            <v>357.26</v>
          </cell>
          <cell r="C297">
            <v>357.26</v>
          </cell>
          <cell r="D297">
            <v>27.619999999999997</v>
          </cell>
          <cell r="E297">
            <v>27.619999999999997</v>
          </cell>
          <cell r="F297">
            <v>384.88</v>
          </cell>
          <cell r="G297">
            <v>384.88</v>
          </cell>
          <cell r="I297" t="str">
            <v xml:space="preserve">   2.  Level II</v>
          </cell>
          <cell r="J297">
            <v>0</v>
          </cell>
          <cell r="K297">
            <v>357.26</v>
          </cell>
          <cell r="L297">
            <v>0</v>
          </cell>
          <cell r="M297">
            <v>27.619999999999997</v>
          </cell>
          <cell r="N297">
            <v>0</v>
          </cell>
          <cell r="O297">
            <v>384.88</v>
          </cell>
          <cell r="Q297" t="str">
            <v xml:space="preserve">   2.  Level II</v>
          </cell>
          <cell r="R297">
            <v>0</v>
          </cell>
          <cell r="S297">
            <v>357.26</v>
          </cell>
          <cell r="T297">
            <v>0</v>
          </cell>
          <cell r="U297">
            <v>27.619999999999997</v>
          </cell>
          <cell r="V297">
            <v>0</v>
          </cell>
          <cell r="W297">
            <v>384.88</v>
          </cell>
          <cell r="Y297" t="str">
            <v xml:space="preserve">   2.  Level II</v>
          </cell>
          <cell r="Z297">
            <v>0</v>
          </cell>
          <cell r="AA297">
            <v>357.26</v>
          </cell>
          <cell r="AB297">
            <v>0</v>
          </cell>
          <cell r="AC297">
            <v>27.619999999999997</v>
          </cell>
          <cell r="AD297">
            <v>0</v>
          </cell>
          <cell r="AE297">
            <v>384.88</v>
          </cell>
        </row>
        <row r="298">
          <cell r="A298" t="str">
            <v xml:space="preserve">   3.  Level III</v>
          </cell>
          <cell r="B298">
            <v>49.28</v>
          </cell>
          <cell r="C298">
            <v>49.28</v>
          </cell>
          <cell r="D298">
            <v>16</v>
          </cell>
          <cell r="E298">
            <v>16</v>
          </cell>
          <cell r="F298">
            <v>65.28</v>
          </cell>
          <cell r="G298">
            <v>65.28</v>
          </cell>
          <cell r="I298" t="str">
            <v xml:space="preserve">   3.  Level III</v>
          </cell>
          <cell r="J298">
            <v>0</v>
          </cell>
          <cell r="K298">
            <v>49.28</v>
          </cell>
          <cell r="L298">
            <v>0</v>
          </cell>
          <cell r="M298">
            <v>16</v>
          </cell>
          <cell r="N298">
            <v>0</v>
          </cell>
          <cell r="O298">
            <v>65.28</v>
          </cell>
          <cell r="Q298" t="str">
            <v xml:space="preserve">   3.  Level III</v>
          </cell>
          <cell r="R298">
            <v>0</v>
          </cell>
          <cell r="S298">
            <v>49.28</v>
          </cell>
          <cell r="T298">
            <v>0</v>
          </cell>
          <cell r="U298">
            <v>16</v>
          </cell>
          <cell r="V298">
            <v>0</v>
          </cell>
          <cell r="W298">
            <v>65.28</v>
          </cell>
          <cell r="Y298" t="str">
            <v xml:space="preserve">   3.  Level III</v>
          </cell>
          <cell r="Z298">
            <v>0</v>
          </cell>
          <cell r="AA298">
            <v>49.28</v>
          </cell>
          <cell r="AB298">
            <v>0</v>
          </cell>
          <cell r="AC298">
            <v>16</v>
          </cell>
          <cell r="AD298">
            <v>0</v>
          </cell>
          <cell r="AE298">
            <v>65.28</v>
          </cell>
        </row>
        <row r="299">
          <cell r="A299" t="str">
            <v xml:space="preserve">   4.  Level IV</v>
          </cell>
          <cell r="B299">
            <v>0</v>
          </cell>
          <cell r="C299">
            <v>0</v>
          </cell>
          <cell r="D299">
            <v>0</v>
          </cell>
          <cell r="E299">
            <v>0</v>
          </cell>
          <cell r="F299">
            <v>0</v>
          </cell>
          <cell r="G299">
            <v>0</v>
          </cell>
          <cell r="I299" t="str">
            <v xml:space="preserve">   4.  Level IV</v>
          </cell>
          <cell r="J299">
            <v>0</v>
          </cell>
          <cell r="K299">
            <v>0</v>
          </cell>
          <cell r="L299">
            <v>0</v>
          </cell>
          <cell r="M299">
            <v>0</v>
          </cell>
          <cell r="N299">
            <v>0</v>
          </cell>
          <cell r="O299">
            <v>0</v>
          </cell>
          <cell r="Q299" t="str">
            <v xml:space="preserve">   4.  Level IV</v>
          </cell>
          <cell r="R299">
            <v>0</v>
          </cell>
          <cell r="S299">
            <v>0</v>
          </cell>
          <cell r="T299">
            <v>0</v>
          </cell>
          <cell r="U299">
            <v>0</v>
          </cell>
          <cell r="V299">
            <v>0</v>
          </cell>
          <cell r="W299">
            <v>0</v>
          </cell>
          <cell r="Y299" t="str">
            <v xml:space="preserve">   4.  Level IV</v>
          </cell>
          <cell r="Z299">
            <v>0</v>
          </cell>
          <cell r="AA299">
            <v>0</v>
          </cell>
          <cell r="AB299">
            <v>0</v>
          </cell>
          <cell r="AC299">
            <v>0</v>
          </cell>
          <cell r="AD299">
            <v>0</v>
          </cell>
          <cell r="AE299">
            <v>0</v>
          </cell>
        </row>
        <row r="300">
          <cell r="A300" t="str">
            <v xml:space="preserve">   5.</v>
          </cell>
          <cell r="I300" t="str">
            <v xml:space="preserve">   5.</v>
          </cell>
          <cell r="Q300" t="str">
            <v xml:space="preserve">   5.</v>
          </cell>
          <cell r="Y300" t="str">
            <v xml:space="preserve">   5.</v>
          </cell>
        </row>
        <row r="301">
          <cell r="A301" t="str">
            <v xml:space="preserve">   6.</v>
          </cell>
          <cell r="I301" t="str">
            <v xml:space="preserve">   6.</v>
          </cell>
          <cell r="Q301" t="str">
            <v xml:space="preserve">   6.</v>
          </cell>
          <cell r="Y301" t="str">
            <v xml:space="preserve">   6.</v>
          </cell>
        </row>
        <row r="302">
          <cell r="A302" t="str">
            <v xml:space="preserve">   7.  Home and Community Based Services (HCBS) Total</v>
          </cell>
          <cell r="B302">
            <v>1021.8000000000001</v>
          </cell>
          <cell r="C302">
            <v>1021.8000000000001</v>
          </cell>
          <cell r="D302">
            <v>258.95</v>
          </cell>
          <cell r="E302">
            <v>258.95</v>
          </cell>
          <cell r="F302">
            <v>1280.75</v>
          </cell>
          <cell r="G302">
            <v>1280.75</v>
          </cell>
          <cell r="I302" t="str">
            <v xml:space="preserve">   7.  Home and Community Based Services (HCBS) Total</v>
          </cell>
          <cell r="J302">
            <v>0</v>
          </cell>
          <cell r="K302">
            <v>1021.8000000000001</v>
          </cell>
          <cell r="L302">
            <v>0</v>
          </cell>
          <cell r="M302">
            <v>258.95</v>
          </cell>
          <cell r="N302">
            <v>0</v>
          </cell>
          <cell r="O302">
            <v>1280.75</v>
          </cell>
          <cell r="Q302" t="str">
            <v xml:space="preserve">   7.  Home and Community Based Services (HCBS) Total</v>
          </cell>
          <cell r="R302">
            <v>0</v>
          </cell>
          <cell r="S302">
            <v>1021.8000000000001</v>
          </cell>
          <cell r="T302">
            <v>0</v>
          </cell>
          <cell r="U302">
            <v>258.95</v>
          </cell>
          <cell r="V302">
            <v>0</v>
          </cell>
          <cell r="W302">
            <v>1280.75</v>
          </cell>
          <cell r="Y302" t="str">
            <v xml:space="preserve">   7.  Home and Community Based Services (HCBS) Total</v>
          </cell>
          <cell r="Z302">
            <v>0</v>
          </cell>
          <cell r="AA302">
            <v>1021.8000000000001</v>
          </cell>
          <cell r="AB302">
            <v>0</v>
          </cell>
          <cell r="AC302">
            <v>258.95</v>
          </cell>
          <cell r="AD302">
            <v>0</v>
          </cell>
          <cell r="AE302">
            <v>1280.75</v>
          </cell>
        </row>
        <row r="303">
          <cell r="A303" t="str">
            <v xml:space="preserve">       a.  Adult Foster Care</v>
          </cell>
          <cell r="B303">
            <v>4</v>
          </cell>
          <cell r="C303">
            <v>4</v>
          </cell>
          <cell r="D303">
            <v>0</v>
          </cell>
          <cell r="E303">
            <v>0</v>
          </cell>
          <cell r="F303">
            <v>4</v>
          </cell>
          <cell r="G303">
            <v>4</v>
          </cell>
          <cell r="I303" t="str">
            <v xml:space="preserve">       a.  Adult Foster Care</v>
          </cell>
          <cell r="J303">
            <v>0</v>
          </cell>
          <cell r="K303">
            <v>4</v>
          </cell>
          <cell r="L303">
            <v>0</v>
          </cell>
          <cell r="M303">
            <v>0</v>
          </cell>
          <cell r="N303">
            <v>0</v>
          </cell>
          <cell r="O303">
            <v>4</v>
          </cell>
          <cell r="Q303" t="str">
            <v xml:space="preserve">       a.  Adult Foster Care</v>
          </cell>
          <cell r="R303">
            <v>0</v>
          </cell>
          <cell r="S303">
            <v>4</v>
          </cell>
          <cell r="T303">
            <v>0</v>
          </cell>
          <cell r="U303">
            <v>0</v>
          </cell>
          <cell r="V303">
            <v>0</v>
          </cell>
          <cell r="W303">
            <v>4</v>
          </cell>
          <cell r="Y303" t="str">
            <v xml:space="preserve">       a.  Adult Foster Care</v>
          </cell>
          <cell r="Z303">
            <v>0</v>
          </cell>
          <cell r="AA303">
            <v>4</v>
          </cell>
          <cell r="AB303">
            <v>0</v>
          </cell>
          <cell r="AC303">
            <v>0</v>
          </cell>
          <cell r="AD303">
            <v>0</v>
          </cell>
          <cell r="AE303">
            <v>4</v>
          </cell>
        </row>
        <row r="304">
          <cell r="A304" t="str">
            <v xml:space="preserve">       b.  Assisted Living Home (Adult Care Home)</v>
          </cell>
          <cell r="B304">
            <v>114.64999999999999</v>
          </cell>
          <cell r="C304">
            <v>114.64999999999999</v>
          </cell>
          <cell r="D304">
            <v>10.27</v>
          </cell>
          <cell r="E304">
            <v>10.27</v>
          </cell>
          <cell r="F304">
            <v>124.92</v>
          </cell>
          <cell r="G304">
            <v>124.92</v>
          </cell>
          <cell r="I304" t="str">
            <v xml:space="preserve">       b.  Assisted Living Home (Adult Care Home)</v>
          </cell>
          <cell r="J304">
            <v>0</v>
          </cell>
          <cell r="K304">
            <v>114.64999999999999</v>
          </cell>
          <cell r="L304">
            <v>0</v>
          </cell>
          <cell r="M304">
            <v>10.27</v>
          </cell>
          <cell r="N304">
            <v>0</v>
          </cell>
          <cell r="O304">
            <v>124.92</v>
          </cell>
          <cell r="Q304" t="str">
            <v xml:space="preserve">       b.  Assisted Living Home (Adult Care Home)</v>
          </cell>
          <cell r="R304">
            <v>0</v>
          </cell>
          <cell r="S304">
            <v>114.64999999999999</v>
          </cell>
          <cell r="T304">
            <v>0</v>
          </cell>
          <cell r="U304">
            <v>10.27</v>
          </cell>
          <cell r="V304">
            <v>0</v>
          </cell>
          <cell r="W304">
            <v>124.92</v>
          </cell>
          <cell r="Y304" t="str">
            <v xml:space="preserve">       b.  Assisted Living Home (Adult Care Home)</v>
          </cell>
          <cell r="Z304">
            <v>0</v>
          </cell>
          <cell r="AA304">
            <v>114.64999999999999</v>
          </cell>
          <cell r="AB304">
            <v>0</v>
          </cell>
          <cell r="AC304">
            <v>10.27</v>
          </cell>
          <cell r="AD304">
            <v>0</v>
          </cell>
          <cell r="AE304">
            <v>124.92</v>
          </cell>
        </row>
        <row r="305">
          <cell r="A305" t="str">
            <v xml:space="preserve">       c.  Group Home (DD)</v>
          </cell>
          <cell r="B305">
            <v>0</v>
          </cell>
          <cell r="C305">
            <v>0</v>
          </cell>
          <cell r="D305">
            <v>0</v>
          </cell>
          <cell r="E305">
            <v>0</v>
          </cell>
          <cell r="F305">
            <v>0</v>
          </cell>
          <cell r="G305">
            <v>0</v>
          </cell>
          <cell r="I305" t="str">
            <v xml:space="preserve">       c.  Group Home (DD)</v>
          </cell>
          <cell r="J305">
            <v>0</v>
          </cell>
          <cell r="K305">
            <v>0</v>
          </cell>
          <cell r="L305">
            <v>0</v>
          </cell>
          <cell r="M305">
            <v>0</v>
          </cell>
          <cell r="N305">
            <v>0</v>
          </cell>
          <cell r="O305">
            <v>0</v>
          </cell>
          <cell r="Q305" t="str">
            <v xml:space="preserve">       c.  Group Home (DD)</v>
          </cell>
          <cell r="R305">
            <v>0</v>
          </cell>
          <cell r="S305">
            <v>0</v>
          </cell>
          <cell r="T305">
            <v>0</v>
          </cell>
          <cell r="U305">
            <v>0</v>
          </cell>
          <cell r="V305">
            <v>0</v>
          </cell>
          <cell r="W305">
            <v>0</v>
          </cell>
          <cell r="Y305" t="str">
            <v xml:space="preserve">       c.  Group Home (DD)</v>
          </cell>
          <cell r="Z305">
            <v>0</v>
          </cell>
          <cell r="AA305">
            <v>0</v>
          </cell>
          <cell r="AB305">
            <v>0</v>
          </cell>
          <cell r="AC305">
            <v>0</v>
          </cell>
          <cell r="AD305">
            <v>0</v>
          </cell>
          <cell r="AE305">
            <v>0</v>
          </cell>
        </row>
        <row r="306">
          <cell r="A306" t="str">
            <v xml:space="preserve">       d.  Individual Home</v>
          </cell>
          <cell r="B306">
            <v>336.13</v>
          </cell>
          <cell r="C306">
            <v>336.13</v>
          </cell>
          <cell r="D306">
            <v>124.83999999999999</v>
          </cell>
          <cell r="E306">
            <v>124.83999999999999</v>
          </cell>
          <cell r="F306">
            <v>460.97</v>
          </cell>
          <cell r="G306">
            <v>460.97</v>
          </cell>
          <cell r="I306" t="str">
            <v xml:space="preserve">       d.  Individual Home</v>
          </cell>
          <cell r="J306">
            <v>0</v>
          </cell>
          <cell r="K306">
            <v>336.13</v>
          </cell>
          <cell r="L306">
            <v>0</v>
          </cell>
          <cell r="M306">
            <v>124.83999999999999</v>
          </cell>
          <cell r="N306">
            <v>0</v>
          </cell>
          <cell r="O306">
            <v>460.97</v>
          </cell>
          <cell r="Q306" t="str">
            <v xml:space="preserve">       d.  Individual Home</v>
          </cell>
          <cell r="R306">
            <v>0</v>
          </cell>
          <cell r="S306">
            <v>336.13</v>
          </cell>
          <cell r="T306">
            <v>0</v>
          </cell>
          <cell r="U306">
            <v>124.83999999999999</v>
          </cell>
          <cell r="V306">
            <v>0</v>
          </cell>
          <cell r="W306">
            <v>460.97</v>
          </cell>
          <cell r="Y306" t="str">
            <v xml:space="preserve">       d.  Individual Home</v>
          </cell>
          <cell r="Z306">
            <v>0</v>
          </cell>
          <cell r="AA306">
            <v>336.13</v>
          </cell>
          <cell r="AB306">
            <v>0</v>
          </cell>
          <cell r="AC306">
            <v>124.83999999999999</v>
          </cell>
          <cell r="AD306">
            <v>0</v>
          </cell>
          <cell r="AE306">
            <v>460.97</v>
          </cell>
        </row>
        <row r="307">
          <cell r="A307" t="str">
            <v xml:space="preserve">       e.  Assisted Living Centers (SRL)</v>
          </cell>
          <cell r="B307">
            <v>144.34</v>
          </cell>
          <cell r="C307">
            <v>144.34</v>
          </cell>
          <cell r="D307">
            <v>16.86</v>
          </cell>
          <cell r="E307">
            <v>16.86</v>
          </cell>
          <cell r="F307">
            <v>161.19999999999999</v>
          </cell>
          <cell r="G307">
            <v>161.19999999999999</v>
          </cell>
          <cell r="I307" t="str">
            <v xml:space="preserve">       e.  Assisted Living Centers (SRL)</v>
          </cell>
          <cell r="J307">
            <v>0</v>
          </cell>
          <cell r="K307">
            <v>144.34</v>
          </cell>
          <cell r="L307">
            <v>0</v>
          </cell>
          <cell r="M307">
            <v>16.86</v>
          </cell>
          <cell r="N307">
            <v>0</v>
          </cell>
          <cell r="O307">
            <v>161.19999999999999</v>
          </cell>
          <cell r="Q307" t="str">
            <v xml:space="preserve">       e.  Assisted Living Centers (SRL)</v>
          </cell>
          <cell r="R307">
            <v>0</v>
          </cell>
          <cell r="S307">
            <v>144.34</v>
          </cell>
          <cell r="T307">
            <v>0</v>
          </cell>
          <cell r="U307">
            <v>16.86</v>
          </cell>
          <cell r="V307">
            <v>0</v>
          </cell>
          <cell r="W307">
            <v>161.19999999999999</v>
          </cell>
          <cell r="Y307" t="str">
            <v xml:space="preserve">       e.  Assisted Living Centers (SRL)</v>
          </cell>
          <cell r="Z307">
            <v>0</v>
          </cell>
          <cell r="AA307">
            <v>144.34</v>
          </cell>
          <cell r="AB307">
            <v>0</v>
          </cell>
          <cell r="AC307">
            <v>16.86</v>
          </cell>
          <cell r="AD307">
            <v>0</v>
          </cell>
          <cell r="AE307">
            <v>161.19999999999999</v>
          </cell>
        </row>
        <row r="308">
          <cell r="A308" t="str">
            <v xml:space="preserve">       f.  Other (Hospice)</v>
          </cell>
          <cell r="B308">
            <v>25.36</v>
          </cell>
          <cell r="C308">
            <v>25.36</v>
          </cell>
          <cell r="D308">
            <v>1.9</v>
          </cell>
          <cell r="E308">
            <v>1.9</v>
          </cell>
          <cell r="F308">
            <v>27.259999999999998</v>
          </cell>
          <cell r="G308">
            <v>27.259999999999998</v>
          </cell>
          <cell r="I308" t="str">
            <v xml:space="preserve">       f.  Other (Hospice)</v>
          </cell>
          <cell r="J308">
            <v>0</v>
          </cell>
          <cell r="K308">
            <v>25.36</v>
          </cell>
          <cell r="L308">
            <v>0</v>
          </cell>
          <cell r="M308">
            <v>1.9</v>
          </cell>
          <cell r="N308">
            <v>0</v>
          </cell>
          <cell r="O308">
            <v>27.259999999999998</v>
          </cell>
          <cell r="Q308" t="str">
            <v xml:space="preserve">       f.  Other (Hospice)</v>
          </cell>
          <cell r="R308">
            <v>0</v>
          </cell>
          <cell r="S308">
            <v>25.36</v>
          </cell>
          <cell r="T308">
            <v>0</v>
          </cell>
          <cell r="U308">
            <v>1.9</v>
          </cell>
          <cell r="V308">
            <v>0</v>
          </cell>
          <cell r="W308">
            <v>27.259999999999998</v>
          </cell>
          <cell r="Y308" t="str">
            <v xml:space="preserve">       f.  Other (Hospice)</v>
          </cell>
          <cell r="Z308">
            <v>0</v>
          </cell>
          <cell r="AA308">
            <v>25.36</v>
          </cell>
          <cell r="AB308">
            <v>0</v>
          </cell>
          <cell r="AC308">
            <v>1.9</v>
          </cell>
          <cell r="AD308">
            <v>0</v>
          </cell>
          <cell r="AE308">
            <v>27.259999999999998</v>
          </cell>
        </row>
        <row r="309">
          <cell r="A309" t="str">
            <v xml:space="preserve">       g.  Attendant Care</v>
          </cell>
          <cell r="B309">
            <v>397.32000000000005</v>
          </cell>
          <cell r="C309">
            <v>397.32000000000005</v>
          </cell>
          <cell r="D309">
            <v>105.08000000000001</v>
          </cell>
          <cell r="E309">
            <v>105.08000000000001</v>
          </cell>
          <cell r="F309">
            <v>502.4</v>
          </cell>
          <cell r="G309">
            <v>502.4</v>
          </cell>
          <cell r="I309" t="str">
            <v xml:space="preserve">       g.  Attendant Care</v>
          </cell>
          <cell r="J309">
            <v>0</v>
          </cell>
          <cell r="K309">
            <v>397.32000000000005</v>
          </cell>
          <cell r="L309">
            <v>0</v>
          </cell>
          <cell r="M309">
            <v>105.08000000000001</v>
          </cell>
          <cell r="N309">
            <v>0</v>
          </cell>
          <cell r="O309">
            <v>502.4</v>
          </cell>
          <cell r="Q309" t="str">
            <v xml:space="preserve">       g.  Attendant Care</v>
          </cell>
          <cell r="R309">
            <v>0</v>
          </cell>
          <cell r="S309">
            <v>397.32000000000005</v>
          </cell>
          <cell r="T309">
            <v>0</v>
          </cell>
          <cell r="U309">
            <v>105.08000000000001</v>
          </cell>
          <cell r="V309">
            <v>0</v>
          </cell>
          <cell r="W309">
            <v>502.4</v>
          </cell>
          <cell r="Y309" t="str">
            <v xml:space="preserve">       g.  Attendant Care</v>
          </cell>
          <cell r="Z309">
            <v>0</v>
          </cell>
          <cell r="AA309">
            <v>397.32000000000005</v>
          </cell>
          <cell r="AB309">
            <v>0</v>
          </cell>
          <cell r="AC309">
            <v>105.08000000000001</v>
          </cell>
          <cell r="AD309">
            <v>0</v>
          </cell>
          <cell r="AE309">
            <v>502.4</v>
          </cell>
        </row>
        <row r="310">
          <cell r="A310" t="str">
            <v xml:space="preserve">   8.  Acute Care</v>
          </cell>
          <cell r="B310">
            <v>5</v>
          </cell>
          <cell r="C310">
            <v>5</v>
          </cell>
          <cell r="D310">
            <v>5</v>
          </cell>
          <cell r="E310">
            <v>5</v>
          </cell>
          <cell r="F310">
            <v>10</v>
          </cell>
          <cell r="G310">
            <v>10</v>
          </cell>
          <cell r="I310" t="str">
            <v xml:space="preserve">   8.  Acute Care</v>
          </cell>
          <cell r="J310">
            <v>0</v>
          </cell>
          <cell r="K310">
            <v>5</v>
          </cell>
          <cell r="L310">
            <v>0</v>
          </cell>
          <cell r="M310">
            <v>5</v>
          </cell>
          <cell r="N310">
            <v>0</v>
          </cell>
          <cell r="O310">
            <v>10</v>
          </cell>
          <cell r="Q310" t="str">
            <v xml:space="preserve">   8.  Acute Care</v>
          </cell>
          <cell r="R310">
            <v>0</v>
          </cell>
          <cell r="S310">
            <v>5</v>
          </cell>
          <cell r="T310">
            <v>0</v>
          </cell>
          <cell r="U310">
            <v>5</v>
          </cell>
          <cell r="V310">
            <v>0</v>
          </cell>
          <cell r="W310">
            <v>10</v>
          </cell>
          <cell r="Y310" t="str">
            <v xml:space="preserve">   8.  Acute Care</v>
          </cell>
          <cell r="Z310">
            <v>0</v>
          </cell>
          <cell r="AA310">
            <v>5</v>
          </cell>
          <cell r="AB310">
            <v>0</v>
          </cell>
          <cell r="AC310">
            <v>5</v>
          </cell>
          <cell r="AD310">
            <v>0</v>
          </cell>
          <cell r="AE310">
            <v>10</v>
          </cell>
        </row>
        <row r="311">
          <cell r="A311" t="str">
            <v xml:space="preserve">   9.  Ventilator</v>
          </cell>
          <cell r="B311">
            <v>0</v>
          </cell>
          <cell r="C311">
            <v>0</v>
          </cell>
          <cell r="D311">
            <v>3</v>
          </cell>
          <cell r="E311">
            <v>3</v>
          </cell>
          <cell r="F311">
            <v>3</v>
          </cell>
          <cell r="G311">
            <v>3</v>
          </cell>
          <cell r="I311" t="str">
            <v xml:space="preserve">   9.  Ventilator</v>
          </cell>
          <cell r="J311">
            <v>0</v>
          </cell>
          <cell r="K311">
            <v>0</v>
          </cell>
          <cell r="L311">
            <v>0</v>
          </cell>
          <cell r="M311">
            <v>3</v>
          </cell>
          <cell r="N311">
            <v>0</v>
          </cell>
          <cell r="O311">
            <v>3</v>
          </cell>
          <cell r="Q311" t="str">
            <v xml:space="preserve">   9.  Ventilator</v>
          </cell>
          <cell r="R311">
            <v>0</v>
          </cell>
          <cell r="S311">
            <v>0</v>
          </cell>
          <cell r="T311">
            <v>0</v>
          </cell>
          <cell r="U311">
            <v>3</v>
          </cell>
          <cell r="V311">
            <v>0</v>
          </cell>
          <cell r="W311">
            <v>3</v>
          </cell>
          <cell r="Y311" t="str">
            <v xml:space="preserve">   9.  Ventilator</v>
          </cell>
          <cell r="Z311">
            <v>0</v>
          </cell>
          <cell r="AA311">
            <v>0</v>
          </cell>
          <cell r="AB311">
            <v>0</v>
          </cell>
          <cell r="AC311">
            <v>3</v>
          </cell>
          <cell r="AD311">
            <v>0</v>
          </cell>
          <cell r="AE311">
            <v>3</v>
          </cell>
        </row>
        <row r="312">
          <cell r="A312" t="str">
            <v xml:space="preserve">  10.  Prior Period</v>
          </cell>
          <cell r="B312">
            <v>39.611800000000002</v>
          </cell>
          <cell r="C312">
            <v>39.611800000000002</v>
          </cell>
          <cell r="D312">
            <v>0</v>
          </cell>
          <cell r="E312">
            <v>0</v>
          </cell>
          <cell r="F312">
            <v>39.611800000000002</v>
          </cell>
          <cell r="G312">
            <v>39.611800000000002</v>
          </cell>
          <cell r="I312" t="str">
            <v xml:space="preserve">  10.  Prior Period</v>
          </cell>
          <cell r="J312">
            <v>0</v>
          </cell>
          <cell r="K312">
            <v>39.611800000000002</v>
          </cell>
          <cell r="L312">
            <v>0</v>
          </cell>
          <cell r="M312">
            <v>0</v>
          </cell>
          <cell r="N312">
            <v>0</v>
          </cell>
          <cell r="O312">
            <v>39.611800000000002</v>
          </cell>
          <cell r="Q312" t="str">
            <v xml:space="preserve">  10.  Prior Period</v>
          </cell>
          <cell r="R312">
            <v>0</v>
          </cell>
          <cell r="S312">
            <v>39.611800000000002</v>
          </cell>
          <cell r="T312">
            <v>0</v>
          </cell>
          <cell r="U312">
            <v>0</v>
          </cell>
          <cell r="V312">
            <v>0</v>
          </cell>
          <cell r="W312">
            <v>39.611800000000002</v>
          </cell>
          <cell r="Y312" t="str">
            <v xml:space="preserve">  10.  Prior Period</v>
          </cell>
          <cell r="Z312">
            <v>0</v>
          </cell>
          <cell r="AA312">
            <v>39.611800000000002</v>
          </cell>
          <cell r="AB312">
            <v>0</v>
          </cell>
          <cell r="AC312">
            <v>0</v>
          </cell>
          <cell r="AD312">
            <v>0</v>
          </cell>
          <cell r="AE312">
            <v>39.611800000000002</v>
          </cell>
        </row>
        <row r="313">
          <cell r="A313" t="str">
            <v xml:space="preserve">  11.  Other - Not Placed</v>
          </cell>
          <cell r="B313">
            <v>-270.71000000000004</v>
          </cell>
          <cell r="C313">
            <v>-270.71000000000004</v>
          </cell>
          <cell r="D313">
            <v>-48.54</v>
          </cell>
          <cell r="E313">
            <v>-48.54</v>
          </cell>
          <cell r="F313">
            <v>-319.25</v>
          </cell>
          <cell r="G313">
            <v>-319.25</v>
          </cell>
          <cell r="I313" t="str">
            <v xml:space="preserve">  11.  Other - Not Placed</v>
          </cell>
          <cell r="J313">
            <v>0</v>
          </cell>
          <cell r="K313">
            <v>-270.71000000000004</v>
          </cell>
          <cell r="L313">
            <v>0</v>
          </cell>
          <cell r="M313">
            <v>-48.54</v>
          </cell>
          <cell r="N313">
            <v>0</v>
          </cell>
          <cell r="O313">
            <v>-319.25</v>
          </cell>
          <cell r="Q313" t="str">
            <v xml:space="preserve">  11.  Other - Not Placed</v>
          </cell>
          <cell r="R313">
            <v>0</v>
          </cell>
          <cell r="S313">
            <v>-270.71000000000004</v>
          </cell>
          <cell r="T313">
            <v>0</v>
          </cell>
          <cell r="U313">
            <v>-48.54</v>
          </cell>
          <cell r="V313">
            <v>0</v>
          </cell>
          <cell r="W313">
            <v>-319.25</v>
          </cell>
          <cell r="Y313" t="str">
            <v xml:space="preserve">  11.  Other - Not Placed</v>
          </cell>
          <cell r="Z313">
            <v>0</v>
          </cell>
          <cell r="AA313">
            <v>-270.71000000000004</v>
          </cell>
          <cell r="AB313">
            <v>0</v>
          </cell>
          <cell r="AC313">
            <v>-48.54</v>
          </cell>
          <cell r="AD313">
            <v>0</v>
          </cell>
          <cell r="AE313">
            <v>-319.25</v>
          </cell>
        </row>
        <row r="315">
          <cell r="A315" t="str">
            <v>C.   Acute Patient Day Information</v>
          </cell>
          <cell r="I315" t="str">
            <v>C.   Acute Patient Day Information</v>
          </cell>
          <cell r="Q315" t="str">
            <v>C.   Acute Patient Day Information</v>
          </cell>
          <cell r="Y315" t="str">
            <v>C.   Acute Patient Day Information</v>
          </cell>
        </row>
        <row r="316">
          <cell r="A316" t="str">
            <v xml:space="preserve">       a.  Admissions</v>
          </cell>
          <cell r="B316">
            <v>112</v>
          </cell>
          <cell r="C316">
            <v>112</v>
          </cell>
          <cell r="D316">
            <v>14</v>
          </cell>
          <cell r="E316">
            <v>14</v>
          </cell>
          <cell r="F316">
            <v>126</v>
          </cell>
          <cell r="G316">
            <v>126</v>
          </cell>
          <cell r="I316" t="str">
            <v xml:space="preserve">       a.  Admissions</v>
          </cell>
          <cell r="J316">
            <v>0</v>
          </cell>
          <cell r="K316">
            <v>112</v>
          </cell>
          <cell r="L316">
            <v>0</v>
          </cell>
          <cell r="M316">
            <v>14</v>
          </cell>
          <cell r="N316">
            <v>0</v>
          </cell>
          <cell r="O316">
            <v>126</v>
          </cell>
          <cell r="Q316" t="str">
            <v xml:space="preserve">       a.  Admissions</v>
          </cell>
          <cell r="R316">
            <v>0</v>
          </cell>
          <cell r="S316">
            <v>112</v>
          </cell>
          <cell r="T316">
            <v>0</v>
          </cell>
          <cell r="U316">
            <v>14</v>
          </cell>
          <cell r="V316">
            <v>0</v>
          </cell>
          <cell r="W316">
            <v>126</v>
          </cell>
          <cell r="Y316" t="str">
            <v xml:space="preserve">       a.  Admissions</v>
          </cell>
          <cell r="Z316">
            <v>0</v>
          </cell>
          <cell r="AA316">
            <v>112</v>
          </cell>
          <cell r="AB316">
            <v>0</v>
          </cell>
          <cell r="AC316">
            <v>14</v>
          </cell>
          <cell r="AD316">
            <v>0</v>
          </cell>
          <cell r="AE316">
            <v>126</v>
          </cell>
        </row>
        <row r="317">
          <cell r="A317" t="str">
            <v xml:space="preserve">       b.  Patient Days</v>
          </cell>
          <cell r="B317">
            <v>682</v>
          </cell>
          <cell r="C317">
            <v>682</v>
          </cell>
          <cell r="D317">
            <v>52</v>
          </cell>
          <cell r="E317">
            <v>52</v>
          </cell>
          <cell r="F317">
            <v>734</v>
          </cell>
          <cell r="G317">
            <v>734</v>
          </cell>
          <cell r="I317" t="str">
            <v xml:space="preserve">       b.  Patient Days</v>
          </cell>
          <cell r="J317">
            <v>0</v>
          </cell>
          <cell r="K317">
            <v>682</v>
          </cell>
          <cell r="L317">
            <v>0</v>
          </cell>
          <cell r="M317">
            <v>52</v>
          </cell>
          <cell r="N317">
            <v>0</v>
          </cell>
          <cell r="O317">
            <v>734</v>
          </cell>
          <cell r="Q317" t="str">
            <v xml:space="preserve">       b.  Patient Days</v>
          </cell>
          <cell r="R317">
            <v>0</v>
          </cell>
          <cell r="S317">
            <v>682</v>
          </cell>
          <cell r="T317">
            <v>0</v>
          </cell>
          <cell r="U317">
            <v>52</v>
          </cell>
          <cell r="V317">
            <v>0</v>
          </cell>
          <cell r="W317">
            <v>734</v>
          </cell>
          <cell r="Y317" t="str">
            <v xml:space="preserve">       b.  Patient Days</v>
          </cell>
          <cell r="Z317">
            <v>0</v>
          </cell>
          <cell r="AA317">
            <v>682</v>
          </cell>
          <cell r="AB317">
            <v>0</v>
          </cell>
          <cell r="AC317">
            <v>52</v>
          </cell>
          <cell r="AD317">
            <v>0</v>
          </cell>
          <cell r="AE317">
            <v>734</v>
          </cell>
        </row>
        <row r="318">
          <cell r="A318" t="str">
            <v xml:space="preserve">       c.  Discharges</v>
          </cell>
          <cell r="B318">
            <v>113</v>
          </cell>
          <cell r="C318">
            <v>113</v>
          </cell>
          <cell r="D318">
            <v>13</v>
          </cell>
          <cell r="E318">
            <v>13</v>
          </cell>
          <cell r="F318">
            <v>126</v>
          </cell>
          <cell r="G318">
            <v>126</v>
          </cell>
          <cell r="I318" t="str">
            <v xml:space="preserve">       c.  Discharges</v>
          </cell>
          <cell r="J318">
            <v>0</v>
          </cell>
          <cell r="K318">
            <v>113</v>
          </cell>
          <cell r="L318">
            <v>0</v>
          </cell>
          <cell r="M318">
            <v>13</v>
          </cell>
          <cell r="N318">
            <v>0</v>
          </cell>
          <cell r="O318">
            <v>126</v>
          </cell>
          <cell r="Q318" t="str">
            <v xml:space="preserve">       c.  Discharges</v>
          </cell>
          <cell r="R318">
            <v>0</v>
          </cell>
          <cell r="S318">
            <v>113</v>
          </cell>
          <cell r="T318">
            <v>0</v>
          </cell>
          <cell r="U318">
            <v>13</v>
          </cell>
          <cell r="V318">
            <v>0</v>
          </cell>
          <cell r="W318">
            <v>126</v>
          </cell>
          <cell r="Y318" t="str">
            <v xml:space="preserve">       c.  Discharges</v>
          </cell>
          <cell r="Z318">
            <v>0</v>
          </cell>
          <cell r="AA318">
            <v>113</v>
          </cell>
          <cell r="AB318">
            <v>0</v>
          </cell>
          <cell r="AC318">
            <v>13</v>
          </cell>
          <cell r="AD318">
            <v>0</v>
          </cell>
          <cell r="AE318">
            <v>126</v>
          </cell>
        </row>
        <row r="319">
          <cell r="A319" t="str">
            <v xml:space="preserve">       d.  Discharge Days</v>
          </cell>
          <cell r="B319">
            <v>519</v>
          </cell>
          <cell r="C319">
            <v>519</v>
          </cell>
          <cell r="D319">
            <v>48</v>
          </cell>
          <cell r="E319">
            <v>48</v>
          </cell>
          <cell r="F319">
            <v>567</v>
          </cell>
          <cell r="G319">
            <v>567</v>
          </cell>
          <cell r="I319" t="str">
            <v xml:space="preserve">       d.  Discharge Days</v>
          </cell>
          <cell r="J319">
            <v>0</v>
          </cell>
          <cell r="K319">
            <v>519</v>
          </cell>
          <cell r="L319">
            <v>0</v>
          </cell>
          <cell r="M319">
            <v>48</v>
          </cell>
          <cell r="N319">
            <v>0</v>
          </cell>
          <cell r="O319">
            <v>567</v>
          </cell>
          <cell r="Q319" t="str">
            <v xml:space="preserve">       d.  Discharge Days</v>
          </cell>
          <cell r="R319">
            <v>0</v>
          </cell>
          <cell r="S319">
            <v>519</v>
          </cell>
          <cell r="T319">
            <v>0</v>
          </cell>
          <cell r="U319">
            <v>48</v>
          </cell>
          <cell r="V319">
            <v>0</v>
          </cell>
          <cell r="W319">
            <v>567</v>
          </cell>
          <cell r="Y319" t="str">
            <v xml:space="preserve">       d.  Discharge Days</v>
          </cell>
          <cell r="Z319">
            <v>0</v>
          </cell>
          <cell r="AA319">
            <v>519</v>
          </cell>
          <cell r="AB319">
            <v>0</v>
          </cell>
          <cell r="AC319">
            <v>48</v>
          </cell>
          <cell r="AD319">
            <v>0</v>
          </cell>
          <cell r="AE319">
            <v>567</v>
          </cell>
        </row>
        <row r="320">
          <cell r="A320" t="str">
            <v xml:space="preserve">       e.  Average Length of Stay</v>
          </cell>
          <cell r="B320">
            <v>4.5929203539823007</v>
          </cell>
          <cell r="C320">
            <v>4.5929203539823007</v>
          </cell>
          <cell r="D320">
            <v>3.6923076923076925</v>
          </cell>
          <cell r="E320">
            <v>3.6923076923076925</v>
          </cell>
          <cell r="F320">
            <v>4.5</v>
          </cell>
          <cell r="G320">
            <v>4.5</v>
          </cell>
          <cell r="I320" t="str">
            <v xml:space="preserve">       e.  Average Length of Stay</v>
          </cell>
          <cell r="J320">
            <v>0</v>
          </cell>
          <cell r="K320">
            <v>4.5929203539823007</v>
          </cell>
          <cell r="L320">
            <v>0</v>
          </cell>
          <cell r="M320">
            <v>3.6923076923076925</v>
          </cell>
          <cell r="N320">
            <v>0</v>
          </cell>
          <cell r="O320">
            <v>4.5</v>
          </cell>
          <cell r="Q320" t="str">
            <v xml:space="preserve">       e.  Average Length of Stay</v>
          </cell>
          <cell r="R320">
            <v>0</v>
          </cell>
          <cell r="S320">
            <v>4.5929203539823007</v>
          </cell>
          <cell r="T320">
            <v>0</v>
          </cell>
          <cell r="U320">
            <v>3.6923076923076925</v>
          </cell>
          <cell r="V320">
            <v>0</v>
          </cell>
          <cell r="W320">
            <v>4.5</v>
          </cell>
          <cell r="Y320" t="str">
            <v xml:space="preserve">       e.  Average Length of Stay</v>
          </cell>
          <cell r="Z320">
            <v>0</v>
          </cell>
          <cell r="AA320">
            <v>4.5929203539823007</v>
          </cell>
          <cell r="AB320">
            <v>0</v>
          </cell>
          <cell r="AC320">
            <v>3.6923076923076925</v>
          </cell>
          <cell r="AD320">
            <v>0</v>
          </cell>
          <cell r="AE320">
            <v>4.5</v>
          </cell>
        </row>
        <row r="322">
          <cell r="A322" t="str">
            <v>D.   Emergency Room Visits</v>
          </cell>
          <cell r="B322">
            <v>43</v>
          </cell>
          <cell r="C322">
            <v>43</v>
          </cell>
          <cell r="D322">
            <v>10</v>
          </cell>
          <cell r="E322">
            <v>10</v>
          </cell>
          <cell r="F322">
            <v>53</v>
          </cell>
          <cell r="G322">
            <v>53</v>
          </cell>
          <cell r="I322" t="str">
            <v>D.   Emergency Room Visits</v>
          </cell>
          <cell r="J322">
            <v>0</v>
          </cell>
          <cell r="K322">
            <v>43</v>
          </cell>
          <cell r="L322">
            <v>0</v>
          </cell>
          <cell r="M322">
            <v>10</v>
          </cell>
          <cell r="N322">
            <v>0</v>
          </cell>
          <cell r="O322">
            <v>53</v>
          </cell>
          <cell r="Q322" t="str">
            <v>D.   Emergency Room Visits</v>
          </cell>
          <cell r="R322">
            <v>0</v>
          </cell>
          <cell r="S322">
            <v>43</v>
          </cell>
          <cell r="T322">
            <v>0</v>
          </cell>
          <cell r="U322">
            <v>10</v>
          </cell>
          <cell r="V322">
            <v>0</v>
          </cell>
          <cell r="W322">
            <v>53</v>
          </cell>
          <cell r="Y322" t="str">
            <v>D.   Emergency Room Visits</v>
          </cell>
          <cell r="Z322">
            <v>0</v>
          </cell>
          <cell r="AA322">
            <v>43</v>
          </cell>
          <cell r="AB322">
            <v>0</v>
          </cell>
          <cell r="AC322">
            <v>10</v>
          </cell>
          <cell r="AD322">
            <v>0</v>
          </cell>
          <cell r="AE322">
            <v>53</v>
          </cell>
        </row>
        <row r="326">
          <cell r="A326" t="str">
            <v>Program Contractor Financial Reporting Systems - Report #11C Utilization Data Report Consolidated by County</v>
          </cell>
          <cell r="I326" t="str">
            <v>Program Contractor Financial Reporting Systems - Report #11C Utilization Data Report Consolidated by County</v>
          </cell>
          <cell r="Q326" t="str">
            <v>Program Contractor Financial Reporting Systems - Report #11C Utilization Data Report Consolidated by County</v>
          </cell>
          <cell r="Y326" t="str">
            <v>Program Contractor Financial Reporting Systems - Report #11C Utilization Data Report Consolidated by County</v>
          </cell>
        </row>
        <row r="328">
          <cell r="A328" t="str">
            <v>Statement for Program Contractor 110049 - Evercare of Arizona, Inc.</v>
          </cell>
          <cell r="F328" t="str">
            <v>County:</v>
          </cell>
          <cell r="G328" t="str">
            <v>All Counties</v>
          </cell>
          <cell r="I328" t="str">
            <v>Statement for Program Contractor 110049 - Evercare of Arizona, Inc.</v>
          </cell>
          <cell r="N328" t="str">
            <v>County:</v>
          </cell>
          <cell r="O328" t="str">
            <v>All Counties</v>
          </cell>
          <cell r="Q328" t="str">
            <v>Statement for Program Contractor 110049 - Evercare of Arizona, Inc.</v>
          </cell>
          <cell r="V328" t="str">
            <v>County:</v>
          </cell>
          <cell r="W328" t="str">
            <v>All Counties</v>
          </cell>
          <cell r="Y328" t="str">
            <v>Statement for Program Contractor 110049 - Evercare of Arizona, Inc.</v>
          </cell>
          <cell r="AD328" t="str">
            <v>County:</v>
          </cell>
          <cell r="AE328" t="str">
            <v>All Counties</v>
          </cell>
        </row>
        <row r="330">
          <cell r="A330" t="str">
            <v>For the Quarter ending 12/31/2005 in the Fiscal Year ending 9/30/2006</v>
          </cell>
          <cell r="F330" t="str">
            <v>Page 8 of 8</v>
          </cell>
          <cell r="I330" t="str">
            <v>For the Quarter ending 3/31/2006 in the Fiscal Year ending 9/30/2006</v>
          </cell>
          <cell r="N330" t="str">
            <v>Page 8 of 8</v>
          </cell>
          <cell r="Q330" t="str">
            <v>For the Quarter ending 6/30/2006 in the Fiscal Year ending 9/30/2006</v>
          </cell>
          <cell r="V330" t="str">
            <v>Page 8 of 8</v>
          </cell>
          <cell r="Y330" t="str">
            <v>For the Quarter ending 9/30/2006 in the Fiscal Year ending 9/30/2006</v>
          </cell>
          <cell r="AD330" t="str">
            <v>Page 8 of 8</v>
          </cell>
        </row>
        <row r="333">
          <cell r="A333" t="str">
            <v>Utilization Data Report by County</v>
          </cell>
          <cell r="I333" t="str">
            <v>Utilization Data Report by County</v>
          </cell>
          <cell r="Q333" t="str">
            <v>Utilization Data Report by County</v>
          </cell>
          <cell r="Y333" t="str">
            <v>Utilization Data Report by County</v>
          </cell>
        </row>
        <row r="335">
          <cell r="B335" t="str">
            <v>MEDICARE</v>
          </cell>
          <cell r="D335" t="str">
            <v>NON-MEDICARE</v>
          </cell>
          <cell r="F335" t="str">
            <v>TOTAL</v>
          </cell>
          <cell r="J335" t="str">
            <v>MEDICARE</v>
          </cell>
          <cell r="L335" t="str">
            <v>NON-MEDICARE</v>
          </cell>
          <cell r="N335" t="str">
            <v>TOTAL</v>
          </cell>
          <cell r="R335" t="str">
            <v>MEDICARE</v>
          </cell>
          <cell r="T335" t="str">
            <v>NON-MEDICARE</v>
          </cell>
          <cell r="V335" t="str">
            <v>TOTAL</v>
          </cell>
          <cell r="Z335" t="str">
            <v>MEDICARE</v>
          </cell>
          <cell r="AB335" t="str">
            <v>NON-MEDICARE</v>
          </cell>
          <cell r="AD335" t="str">
            <v>TOTAL</v>
          </cell>
        </row>
        <row r="336">
          <cell r="A336" t="str">
            <v>ITEM DESCRIPTION</v>
          </cell>
          <cell r="B336" t="str">
            <v>Current</v>
          </cell>
          <cell r="D336" t="str">
            <v>Current</v>
          </cell>
          <cell r="F336" t="str">
            <v>Current</v>
          </cell>
          <cell r="I336" t="str">
            <v>ITEM DESCRIPTION</v>
          </cell>
          <cell r="J336" t="str">
            <v>Current</v>
          </cell>
          <cell r="L336" t="str">
            <v>Current</v>
          </cell>
          <cell r="N336" t="str">
            <v>Current</v>
          </cell>
          <cell r="Q336" t="str">
            <v>ITEM DESCRIPTION</v>
          </cell>
          <cell r="R336" t="str">
            <v>Current</v>
          </cell>
          <cell r="T336" t="str">
            <v>Current</v>
          </cell>
          <cell r="V336" t="str">
            <v>Current</v>
          </cell>
          <cell r="Y336" t="str">
            <v>ITEM DESCRIPTION</v>
          </cell>
          <cell r="Z336" t="str">
            <v>Current</v>
          </cell>
          <cell r="AB336" t="str">
            <v>Current</v>
          </cell>
          <cell r="AD336" t="str">
            <v>Current</v>
          </cell>
        </row>
        <row r="337">
          <cell r="B337" t="str">
            <v>Period</v>
          </cell>
          <cell r="C337" t="str">
            <v>YTD</v>
          </cell>
          <cell r="D337" t="str">
            <v>Period</v>
          </cell>
          <cell r="E337" t="str">
            <v>YTD</v>
          </cell>
          <cell r="F337" t="str">
            <v>Period</v>
          </cell>
          <cell r="G337" t="str">
            <v>YTD</v>
          </cell>
          <cell r="J337" t="str">
            <v>Period</v>
          </cell>
          <cell r="K337" t="str">
            <v>YTD</v>
          </cell>
          <cell r="L337" t="str">
            <v>Period</v>
          </cell>
          <cell r="M337" t="str">
            <v>YTD</v>
          </cell>
          <cell r="N337" t="str">
            <v>Period</v>
          </cell>
          <cell r="O337" t="str">
            <v>YTD</v>
          </cell>
          <cell r="R337" t="str">
            <v>Period</v>
          </cell>
          <cell r="S337" t="str">
            <v>YTD</v>
          </cell>
          <cell r="T337" t="str">
            <v>Period</v>
          </cell>
          <cell r="U337" t="str">
            <v>YTD</v>
          </cell>
          <cell r="V337" t="str">
            <v>Period</v>
          </cell>
          <cell r="W337" t="str">
            <v>YTD</v>
          </cell>
          <cell r="Z337" t="str">
            <v>Period</v>
          </cell>
          <cell r="AA337" t="str">
            <v>YTD</v>
          </cell>
          <cell r="AB337" t="str">
            <v>Period</v>
          </cell>
          <cell r="AC337" t="str">
            <v>YTD</v>
          </cell>
          <cell r="AD337" t="str">
            <v>Period</v>
          </cell>
          <cell r="AE337" t="str">
            <v>YTD</v>
          </cell>
        </row>
        <row r="338">
          <cell r="A338" t="str">
            <v>A.   Enrollees (At End of Period)</v>
          </cell>
          <cell r="B338">
            <v>6191</v>
          </cell>
          <cell r="D338">
            <v>951</v>
          </cell>
          <cell r="F338">
            <v>7142</v>
          </cell>
          <cell r="I338" t="str">
            <v>A.   Enrollees (At End of Period)</v>
          </cell>
          <cell r="J338">
            <v>0</v>
          </cell>
          <cell r="L338">
            <v>0</v>
          </cell>
          <cell r="N338">
            <v>0</v>
          </cell>
          <cell r="Q338" t="str">
            <v>A.   Enrollees (At End of Period)</v>
          </cell>
          <cell r="R338">
            <v>0</v>
          </cell>
          <cell r="T338">
            <v>0</v>
          </cell>
          <cell r="V338">
            <v>0</v>
          </cell>
          <cell r="Y338" t="str">
            <v>A.   Enrollees (At End of Period)</v>
          </cell>
          <cell r="Z338">
            <v>0</v>
          </cell>
          <cell r="AB338">
            <v>0</v>
          </cell>
          <cell r="AD338">
            <v>0</v>
          </cell>
        </row>
        <row r="340">
          <cell r="A340" t="str">
            <v>B.   Member Months (Unduplicated)</v>
          </cell>
          <cell r="B340">
            <v>19021.851999999999</v>
          </cell>
          <cell r="C340">
            <v>19021.851999999999</v>
          </cell>
          <cell r="D340">
            <v>2962.9679999999994</v>
          </cell>
          <cell r="E340">
            <v>2962.9679999999994</v>
          </cell>
          <cell r="F340">
            <v>21984.820000000003</v>
          </cell>
          <cell r="G340">
            <v>21984.820000000003</v>
          </cell>
          <cell r="I340" t="str">
            <v>B.   Member Months (Unduplicated)</v>
          </cell>
          <cell r="J340">
            <v>0</v>
          </cell>
          <cell r="K340">
            <v>19021.851999999999</v>
          </cell>
          <cell r="L340">
            <v>0</v>
          </cell>
          <cell r="M340">
            <v>2962.9679999999994</v>
          </cell>
          <cell r="N340">
            <v>0</v>
          </cell>
          <cell r="O340">
            <v>21984.820000000003</v>
          </cell>
          <cell r="Q340" t="str">
            <v>B.   Member Months (Unduplicated)</v>
          </cell>
          <cell r="R340">
            <v>0</v>
          </cell>
          <cell r="S340">
            <v>19021.851999999999</v>
          </cell>
          <cell r="T340">
            <v>0</v>
          </cell>
          <cell r="U340">
            <v>2962.9679999999994</v>
          </cell>
          <cell r="V340">
            <v>0</v>
          </cell>
          <cell r="W340">
            <v>21984.820000000003</v>
          </cell>
          <cell r="Y340" t="str">
            <v>B.   Member Months (Unduplicated)</v>
          </cell>
          <cell r="Z340">
            <v>0</v>
          </cell>
          <cell r="AA340">
            <v>19021.851999999999</v>
          </cell>
          <cell r="AB340">
            <v>0</v>
          </cell>
          <cell r="AC340">
            <v>2962.9679999999994</v>
          </cell>
          <cell r="AD340">
            <v>0</v>
          </cell>
          <cell r="AE340">
            <v>21984.820000000003</v>
          </cell>
        </row>
        <row r="341">
          <cell r="A341" t="str">
            <v xml:space="preserve">   Institutional Member Months Total</v>
          </cell>
          <cell r="B341">
            <v>8039.7100000000009</v>
          </cell>
          <cell r="C341">
            <v>8039.7100000000009</v>
          </cell>
          <cell r="D341">
            <v>718.39999999999986</v>
          </cell>
          <cell r="E341">
            <v>718.39999999999986</v>
          </cell>
          <cell r="F341">
            <v>8758.11</v>
          </cell>
          <cell r="G341">
            <v>8758.11</v>
          </cell>
          <cell r="I341" t="str">
            <v xml:space="preserve">   Institutional Member Months Total</v>
          </cell>
          <cell r="J341">
            <v>0</v>
          </cell>
          <cell r="K341">
            <v>8039.7100000000009</v>
          </cell>
          <cell r="L341">
            <v>0</v>
          </cell>
          <cell r="M341">
            <v>718.39999999999986</v>
          </cell>
          <cell r="N341">
            <v>0</v>
          </cell>
          <cell r="O341">
            <v>8758.11</v>
          </cell>
          <cell r="Q341" t="str">
            <v xml:space="preserve">   Institutional Member Months Total</v>
          </cell>
          <cell r="R341">
            <v>0</v>
          </cell>
          <cell r="S341">
            <v>8039.7100000000009</v>
          </cell>
          <cell r="T341">
            <v>0</v>
          </cell>
          <cell r="U341">
            <v>718.39999999999986</v>
          </cell>
          <cell r="V341">
            <v>0</v>
          </cell>
          <cell r="W341">
            <v>8758.11</v>
          </cell>
          <cell r="Y341" t="str">
            <v xml:space="preserve">   Institutional Member Months Total</v>
          </cell>
          <cell r="Z341">
            <v>0</v>
          </cell>
          <cell r="AA341">
            <v>8039.7100000000009</v>
          </cell>
          <cell r="AB341">
            <v>0</v>
          </cell>
          <cell r="AC341">
            <v>718.39999999999986</v>
          </cell>
          <cell r="AD341">
            <v>0</v>
          </cell>
          <cell r="AE341">
            <v>8758.11</v>
          </cell>
        </row>
        <row r="342">
          <cell r="A342" t="str">
            <v xml:space="preserve">   1.  Level I</v>
          </cell>
          <cell r="B342">
            <v>4965.1399999999994</v>
          </cell>
          <cell r="C342">
            <v>4965.1399999999994</v>
          </cell>
          <cell r="D342">
            <v>442.84000000000003</v>
          </cell>
          <cell r="E342">
            <v>442.84000000000003</v>
          </cell>
          <cell r="F342">
            <v>5407.98</v>
          </cell>
          <cell r="G342">
            <v>5407.98</v>
          </cell>
          <cell r="I342" t="str">
            <v xml:space="preserve">   1.  Level I</v>
          </cell>
          <cell r="J342">
            <v>0</v>
          </cell>
          <cell r="K342">
            <v>4965.1399999999994</v>
          </cell>
          <cell r="L342">
            <v>0</v>
          </cell>
          <cell r="M342">
            <v>442.84000000000003</v>
          </cell>
          <cell r="N342">
            <v>0</v>
          </cell>
          <cell r="O342">
            <v>5407.98</v>
          </cell>
          <cell r="Q342" t="str">
            <v xml:space="preserve">   1.  Level I</v>
          </cell>
          <cell r="R342">
            <v>0</v>
          </cell>
          <cell r="S342">
            <v>4965.1399999999994</v>
          </cell>
          <cell r="T342">
            <v>0</v>
          </cell>
          <cell r="U342">
            <v>442.84000000000003</v>
          </cell>
          <cell r="V342">
            <v>0</v>
          </cell>
          <cell r="W342">
            <v>5407.98</v>
          </cell>
          <cell r="Y342" t="str">
            <v xml:space="preserve">   1.  Level I</v>
          </cell>
          <cell r="Z342">
            <v>0</v>
          </cell>
          <cell r="AA342">
            <v>4965.1399999999994</v>
          </cell>
          <cell r="AB342">
            <v>0</v>
          </cell>
          <cell r="AC342">
            <v>442.84000000000003</v>
          </cell>
          <cell r="AD342">
            <v>0</v>
          </cell>
          <cell r="AE342">
            <v>5407.98</v>
          </cell>
        </row>
        <row r="343">
          <cell r="A343" t="str">
            <v xml:space="preserve">   2.  Level II</v>
          </cell>
          <cell r="B343">
            <v>2657.8599999999997</v>
          </cell>
          <cell r="C343">
            <v>2657.8599999999997</v>
          </cell>
          <cell r="D343">
            <v>195.09</v>
          </cell>
          <cell r="E343">
            <v>195.09</v>
          </cell>
          <cell r="F343">
            <v>2852.95</v>
          </cell>
          <cell r="G343">
            <v>2852.95</v>
          </cell>
          <cell r="I343" t="str">
            <v xml:space="preserve">   2.  Level II</v>
          </cell>
          <cell r="J343">
            <v>0</v>
          </cell>
          <cell r="K343">
            <v>2657.8599999999997</v>
          </cell>
          <cell r="L343">
            <v>0</v>
          </cell>
          <cell r="M343">
            <v>195.09</v>
          </cell>
          <cell r="N343">
            <v>0</v>
          </cell>
          <cell r="O343">
            <v>2852.95</v>
          </cell>
          <cell r="Q343" t="str">
            <v xml:space="preserve">   2.  Level II</v>
          </cell>
          <cell r="R343">
            <v>0</v>
          </cell>
          <cell r="S343">
            <v>2657.8599999999997</v>
          </cell>
          <cell r="T343">
            <v>0</v>
          </cell>
          <cell r="U343">
            <v>195.09</v>
          </cell>
          <cell r="V343">
            <v>0</v>
          </cell>
          <cell r="W343">
            <v>2852.95</v>
          </cell>
          <cell r="Y343" t="str">
            <v xml:space="preserve">   2.  Level II</v>
          </cell>
          <cell r="Z343">
            <v>0</v>
          </cell>
          <cell r="AA343">
            <v>2657.8599999999997</v>
          </cell>
          <cell r="AB343">
            <v>0</v>
          </cell>
          <cell r="AC343">
            <v>195.09</v>
          </cell>
          <cell r="AD343">
            <v>0</v>
          </cell>
          <cell r="AE343">
            <v>2852.95</v>
          </cell>
        </row>
        <row r="344">
          <cell r="A344" t="str">
            <v xml:space="preserve">   3.  Level III</v>
          </cell>
          <cell r="B344">
            <v>408.74</v>
          </cell>
          <cell r="C344">
            <v>408.74</v>
          </cell>
          <cell r="D344">
            <v>66.5</v>
          </cell>
          <cell r="E344">
            <v>66.5</v>
          </cell>
          <cell r="F344">
            <v>475.24</v>
          </cell>
          <cell r="G344">
            <v>475.24</v>
          </cell>
          <cell r="I344" t="str">
            <v xml:space="preserve">   3.  Level III</v>
          </cell>
          <cell r="J344">
            <v>0</v>
          </cell>
          <cell r="K344">
            <v>408.74</v>
          </cell>
          <cell r="L344">
            <v>0</v>
          </cell>
          <cell r="M344">
            <v>66.5</v>
          </cell>
          <cell r="N344">
            <v>0</v>
          </cell>
          <cell r="O344">
            <v>475.24</v>
          </cell>
          <cell r="Q344" t="str">
            <v xml:space="preserve">   3.  Level III</v>
          </cell>
          <cell r="R344">
            <v>0</v>
          </cell>
          <cell r="S344">
            <v>408.74</v>
          </cell>
          <cell r="T344">
            <v>0</v>
          </cell>
          <cell r="U344">
            <v>66.5</v>
          </cell>
          <cell r="V344">
            <v>0</v>
          </cell>
          <cell r="W344">
            <v>475.24</v>
          </cell>
          <cell r="Y344" t="str">
            <v xml:space="preserve">   3.  Level III</v>
          </cell>
          <cell r="Z344">
            <v>0</v>
          </cell>
          <cell r="AA344">
            <v>408.74</v>
          </cell>
          <cell r="AB344">
            <v>0</v>
          </cell>
          <cell r="AC344">
            <v>66.5</v>
          </cell>
          <cell r="AD344">
            <v>0</v>
          </cell>
          <cell r="AE344">
            <v>475.24</v>
          </cell>
        </row>
        <row r="345">
          <cell r="A345" t="str">
            <v xml:space="preserve">   4.  Level IV</v>
          </cell>
          <cell r="B345">
            <v>7.97</v>
          </cell>
          <cell r="C345">
            <v>7.97</v>
          </cell>
          <cell r="D345">
            <v>13.969999999999999</v>
          </cell>
          <cell r="E345">
            <v>13.969999999999999</v>
          </cell>
          <cell r="F345">
            <v>21.939999999999998</v>
          </cell>
          <cell r="G345">
            <v>21.939999999999998</v>
          </cell>
          <cell r="I345" t="str">
            <v xml:space="preserve">   4.  Level IV</v>
          </cell>
          <cell r="J345">
            <v>0</v>
          </cell>
          <cell r="K345">
            <v>7.97</v>
          </cell>
          <cell r="L345">
            <v>0</v>
          </cell>
          <cell r="M345">
            <v>13.969999999999999</v>
          </cell>
          <cell r="N345">
            <v>0</v>
          </cell>
          <cell r="O345">
            <v>21.939999999999998</v>
          </cell>
          <cell r="Q345" t="str">
            <v xml:space="preserve">   4.  Level IV</v>
          </cell>
          <cell r="R345">
            <v>0</v>
          </cell>
          <cell r="S345">
            <v>7.97</v>
          </cell>
          <cell r="T345">
            <v>0</v>
          </cell>
          <cell r="U345">
            <v>13.969999999999999</v>
          </cell>
          <cell r="V345">
            <v>0</v>
          </cell>
          <cell r="W345">
            <v>21.939999999999998</v>
          </cell>
          <cell r="Y345" t="str">
            <v xml:space="preserve">   4.  Level IV</v>
          </cell>
          <cell r="Z345">
            <v>0</v>
          </cell>
          <cell r="AA345">
            <v>7.97</v>
          </cell>
          <cell r="AB345">
            <v>0</v>
          </cell>
          <cell r="AC345">
            <v>13.969999999999999</v>
          </cell>
          <cell r="AD345">
            <v>0</v>
          </cell>
          <cell r="AE345">
            <v>21.939999999999998</v>
          </cell>
        </row>
        <row r="346">
          <cell r="A346" t="str">
            <v xml:space="preserve">   5.</v>
          </cell>
          <cell r="I346" t="str">
            <v xml:space="preserve">   5.</v>
          </cell>
          <cell r="Q346" t="str">
            <v xml:space="preserve">   5.</v>
          </cell>
          <cell r="Y346" t="str">
            <v xml:space="preserve">   5.</v>
          </cell>
        </row>
        <row r="347">
          <cell r="A347" t="str">
            <v xml:space="preserve">   6.</v>
          </cell>
          <cell r="I347" t="str">
            <v xml:space="preserve">   6.</v>
          </cell>
          <cell r="Q347" t="str">
            <v xml:space="preserve">   6.</v>
          </cell>
          <cell r="Y347" t="str">
            <v xml:space="preserve">   6.</v>
          </cell>
        </row>
        <row r="348">
          <cell r="A348" t="str">
            <v xml:space="preserve">   7.  Home and Community Based Services (HCBS) Total</v>
          </cell>
          <cell r="B348">
            <v>12009.18</v>
          </cell>
          <cell r="C348">
            <v>12009.18</v>
          </cell>
          <cell r="D348">
            <v>2309.5999999999995</v>
          </cell>
          <cell r="E348">
            <v>2309.5999999999995</v>
          </cell>
          <cell r="F348">
            <v>14318.78</v>
          </cell>
          <cell r="G348">
            <v>14318.78</v>
          </cell>
          <cell r="I348" t="str">
            <v xml:space="preserve">   7.  Home and Community Based Services (HCBS) Total</v>
          </cell>
          <cell r="J348">
            <v>0</v>
          </cell>
          <cell r="K348">
            <v>12009.18</v>
          </cell>
          <cell r="L348">
            <v>0</v>
          </cell>
          <cell r="M348">
            <v>2309.5999999999995</v>
          </cell>
          <cell r="N348">
            <v>0</v>
          </cell>
          <cell r="O348">
            <v>14318.78</v>
          </cell>
          <cell r="Q348" t="str">
            <v xml:space="preserve">   7.  Home and Community Based Services (HCBS) Total</v>
          </cell>
          <cell r="R348">
            <v>0</v>
          </cell>
          <cell r="S348">
            <v>12009.18</v>
          </cell>
          <cell r="T348">
            <v>0</v>
          </cell>
          <cell r="U348">
            <v>2309.5999999999995</v>
          </cell>
          <cell r="V348">
            <v>0</v>
          </cell>
          <cell r="W348">
            <v>14318.78</v>
          </cell>
          <cell r="Y348" t="str">
            <v xml:space="preserve">   7.  Home and Community Based Services (HCBS) Total</v>
          </cell>
          <cell r="Z348">
            <v>0</v>
          </cell>
          <cell r="AA348">
            <v>12009.18</v>
          </cell>
          <cell r="AB348">
            <v>0</v>
          </cell>
          <cell r="AC348">
            <v>2309.5999999999995</v>
          </cell>
          <cell r="AD348">
            <v>0</v>
          </cell>
          <cell r="AE348">
            <v>14318.78</v>
          </cell>
        </row>
        <row r="349">
          <cell r="A349" t="str">
            <v xml:space="preserve">       a.  Adult Foster Care</v>
          </cell>
          <cell r="B349">
            <v>178.41</v>
          </cell>
          <cell r="C349">
            <v>178.41</v>
          </cell>
          <cell r="D349">
            <v>32.94</v>
          </cell>
          <cell r="E349">
            <v>32.94</v>
          </cell>
          <cell r="F349">
            <v>211.35</v>
          </cell>
          <cell r="G349">
            <v>211.35</v>
          </cell>
          <cell r="I349" t="str">
            <v xml:space="preserve">       a.  Adult Foster Care</v>
          </cell>
          <cell r="J349">
            <v>0</v>
          </cell>
          <cell r="K349">
            <v>178.41</v>
          </cell>
          <cell r="L349">
            <v>0</v>
          </cell>
          <cell r="M349">
            <v>32.94</v>
          </cell>
          <cell r="N349">
            <v>0</v>
          </cell>
          <cell r="O349">
            <v>211.35</v>
          </cell>
          <cell r="Q349" t="str">
            <v xml:space="preserve">       a.  Adult Foster Care</v>
          </cell>
          <cell r="R349">
            <v>0</v>
          </cell>
          <cell r="S349">
            <v>178.41</v>
          </cell>
          <cell r="T349">
            <v>0</v>
          </cell>
          <cell r="U349">
            <v>32.94</v>
          </cell>
          <cell r="V349">
            <v>0</v>
          </cell>
          <cell r="W349">
            <v>211.35</v>
          </cell>
          <cell r="Y349" t="str">
            <v xml:space="preserve">       a.  Adult Foster Care</v>
          </cell>
          <cell r="Z349">
            <v>0</v>
          </cell>
          <cell r="AA349">
            <v>178.41</v>
          </cell>
          <cell r="AB349">
            <v>0</v>
          </cell>
          <cell r="AC349">
            <v>32.94</v>
          </cell>
          <cell r="AD349">
            <v>0</v>
          </cell>
          <cell r="AE349">
            <v>211.35</v>
          </cell>
        </row>
        <row r="350">
          <cell r="A350" t="str">
            <v xml:space="preserve">       b.  Assisted Living Home (Adult Care Home)</v>
          </cell>
          <cell r="B350">
            <v>2187.61</v>
          </cell>
          <cell r="C350">
            <v>2187.61</v>
          </cell>
          <cell r="D350">
            <v>159.81</v>
          </cell>
          <cell r="E350">
            <v>159.81</v>
          </cell>
          <cell r="F350">
            <v>2347.42</v>
          </cell>
          <cell r="G350">
            <v>2347.42</v>
          </cell>
          <cell r="I350" t="str">
            <v xml:space="preserve">       b.  Assisted Living Home (Adult Care Home)</v>
          </cell>
          <cell r="J350">
            <v>0</v>
          </cell>
          <cell r="K350">
            <v>2187.61</v>
          </cell>
          <cell r="L350">
            <v>0</v>
          </cell>
          <cell r="M350">
            <v>159.81</v>
          </cell>
          <cell r="N350">
            <v>0</v>
          </cell>
          <cell r="O350">
            <v>2347.42</v>
          </cell>
          <cell r="Q350" t="str">
            <v xml:space="preserve">       b.  Assisted Living Home (Adult Care Home)</v>
          </cell>
          <cell r="R350">
            <v>0</v>
          </cell>
          <cell r="S350">
            <v>2187.61</v>
          </cell>
          <cell r="T350">
            <v>0</v>
          </cell>
          <cell r="U350">
            <v>159.81</v>
          </cell>
          <cell r="V350">
            <v>0</v>
          </cell>
          <cell r="W350">
            <v>2347.42</v>
          </cell>
          <cell r="Y350" t="str">
            <v xml:space="preserve">       b.  Assisted Living Home (Adult Care Home)</v>
          </cell>
          <cell r="Z350">
            <v>0</v>
          </cell>
          <cell r="AA350">
            <v>2187.61</v>
          </cell>
          <cell r="AB350">
            <v>0</v>
          </cell>
          <cell r="AC350">
            <v>159.81</v>
          </cell>
          <cell r="AD350">
            <v>0</v>
          </cell>
          <cell r="AE350">
            <v>2347.42</v>
          </cell>
        </row>
        <row r="351">
          <cell r="A351" t="str">
            <v xml:space="preserve">       c.  Group Home (DD)</v>
          </cell>
          <cell r="B351">
            <v>4.0299999999999994</v>
          </cell>
          <cell r="C351">
            <v>4.0299999999999994</v>
          </cell>
          <cell r="D351">
            <v>0</v>
          </cell>
          <cell r="E351">
            <v>0</v>
          </cell>
          <cell r="F351">
            <v>4.0299999999999994</v>
          </cell>
          <cell r="G351">
            <v>4.0299999999999994</v>
          </cell>
          <cell r="I351" t="str">
            <v xml:space="preserve">       c.  Group Home (DD)</v>
          </cell>
          <cell r="J351">
            <v>0</v>
          </cell>
          <cell r="K351">
            <v>4.0299999999999994</v>
          </cell>
          <cell r="L351">
            <v>0</v>
          </cell>
          <cell r="M351">
            <v>0</v>
          </cell>
          <cell r="N351">
            <v>0</v>
          </cell>
          <cell r="O351">
            <v>4.0299999999999994</v>
          </cell>
          <cell r="Q351" t="str">
            <v xml:space="preserve">       c.  Group Home (DD)</v>
          </cell>
          <cell r="R351">
            <v>0</v>
          </cell>
          <cell r="S351">
            <v>4.0299999999999994</v>
          </cell>
          <cell r="T351">
            <v>0</v>
          </cell>
          <cell r="U351">
            <v>0</v>
          </cell>
          <cell r="V351">
            <v>0</v>
          </cell>
          <cell r="W351">
            <v>4.0299999999999994</v>
          </cell>
          <cell r="Y351" t="str">
            <v xml:space="preserve">       c.  Group Home (DD)</v>
          </cell>
          <cell r="Z351">
            <v>0</v>
          </cell>
          <cell r="AA351">
            <v>4.0299999999999994</v>
          </cell>
          <cell r="AB351">
            <v>0</v>
          </cell>
          <cell r="AC351">
            <v>0</v>
          </cell>
          <cell r="AD351">
            <v>0</v>
          </cell>
          <cell r="AE351">
            <v>4.0299999999999994</v>
          </cell>
        </row>
        <row r="352">
          <cell r="A352" t="str">
            <v xml:space="preserve">       d.  Individual Home</v>
          </cell>
          <cell r="B352">
            <v>3287.0699999999997</v>
          </cell>
          <cell r="C352">
            <v>3287.0699999999997</v>
          </cell>
          <cell r="D352">
            <v>1141.04</v>
          </cell>
          <cell r="E352">
            <v>1141.04</v>
          </cell>
          <cell r="F352">
            <v>4428.1100000000006</v>
          </cell>
          <cell r="G352">
            <v>4428.1100000000006</v>
          </cell>
          <cell r="I352" t="str">
            <v xml:space="preserve">       d.  Individual Home</v>
          </cell>
          <cell r="J352">
            <v>0</v>
          </cell>
          <cell r="K352">
            <v>3287.0699999999997</v>
          </cell>
          <cell r="L352">
            <v>0</v>
          </cell>
          <cell r="M352">
            <v>1141.04</v>
          </cell>
          <cell r="N352">
            <v>0</v>
          </cell>
          <cell r="O352">
            <v>4428.1100000000006</v>
          </cell>
          <cell r="Q352" t="str">
            <v xml:space="preserve">       d.  Individual Home</v>
          </cell>
          <cell r="R352">
            <v>0</v>
          </cell>
          <cell r="S352">
            <v>3287.0699999999997</v>
          </cell>
          <cell r="T352">
            <v>0</v>
          </cell>
          <cell r="U352">
            <v>1141.04</v>
          </cell>
          <cell r="V352">
            <v>0</v>
          </cell>
          <cell r="W352">
            <v>4428.1100000000006</v>
          </cell>
          <cell r="Y352" t="str">
            <v xml:space="preserve">       d.  Individual Home</v>
          </cell>
          <cell r="Z352">
            <v>0</v>
          </cell>
          <cell r="AA352">
            <v>3287.0699999999997</v>
          </cell>
          <cell r="AB352">
            <v>0</v>
          </cell>
          <cell r="AC352">
            <v>1141.04</v>
          </cell>
          <cell r="AD352">
            <v>0</v>
          </cell>
          <cell r="AE352">
            <v>4428.1100000000006</v>
          </cell>
        </row>
        <row r="353">
          <cell r="A353" t="str">
            <v xml:space="preserve">       e.  Assisted Living Centers (SRL)</v>
          </cell>
          <cell r="B353">
            <v>2881.63</v>
          </cell>
          <cell r="C353">
            <v>2881.63</v>
          </cell>
          <cell r="D353">
            <v>223.98000000000002</v>
          </cell>
          <cell r="E353">
            <v>223.98000000000002</v>
          </cell>
          <cell r="F353">
            <v>3105.61</v>
          </cell>
          <cell r="G353">
            <v>3105.61</v>
          </cell>
          <cell r="I353" t="str">
            <v xml:space="preserve">       e.  Assisted Living Centers (SRL)</v>
          </cell>
          <cell r="J353">
            <v>0</v>
          </cell>
          <cell r="K353">
            <v>2881.63</v>
          </cell>
          <cell r="L353">
            <v>0</v>
          </cell>
          <cell r="M353">
            <v>223.98000000000002</v>
          </cell>
          <cell r="N353">
            <v>0</v>
          </cell>
          <cell r="O353">
            <v>3105.61</v>
          </cell>
          <cell r="Q353" t="str">
            <v xml:space="preserve">       e.  Assisted Living Centers (SRL)</v>
          </cell>
          <cell r="R353">
            <v>0</v>
          </cell>
          <cell r="S353">
            <v>2881.63</v>
          </cell>
          <cell r="T353">
            <v>0</v>
          </cell>
          <cell r="U353">
            <v>223.98000000000002</v>
          </cell>
          <cell r="V353">
            <v>0</v>
          </cell>
          <cell r="W353">
            <v>3105.61</v>
          </cell>
          <cell r="Y353" t="str">
            <v xml:space="preserve">       e.  Assisted Living Centers (SRL)</v>
          </cell>
          <cell r="Z353">
            <v>0</v>
          </cell>
          <cell r="AA353">
            <v>2881.63</v>
          </cell>
          <cell r="AB353">
            <v>0</v>
          </cell>
          <cell r="AC353">
            <v>223.98000000000002</v>
          </cell>
          <cell r="AD353">
            <v>0</v>
          </cell>
          <cell r="AE353">
            <v>3105.61</v>
          </cell>
        </row>
        <row r="354">
          <cell r="A354" t="str">
            <v xml:space="preserve">       f.  Other (Hospice)</v>
          </cell>
          <cell r="B354">
            <v>353.15000000000003</v>
          </cell>
          <cell r="C354">
            <v>353.15000000000003</v>
          </cell>
          <cell r="D354">
            <v>18.22</v>
          </cell>
          <cell r="E354">
            <v>18.22</v>
          </cell>
          <cell r="F354">
            <v>371.36999999999995</v>
          </cell>
          <cell r="G354">
            <v>371.36999999999995</v>
          </cell>
          <cell r="I354" t="str">
            <v xml:space="preserve">       f.  Other (Hospice)</v>
          </cell>
          <cell r="J354">
            <v>0</v>
          </cell>
          <cell r="K354">
            <v>353.15000000000003</v>
          </cell>
          <cell r="L354">
            <v>0</v>
          </cell>
          <cell r="M354">
            <v>18.22</v>
          </cell>
          <cell r="N354">
            <v>0</v>
          </cell>
          <cell r="O354">
            <v>371.36999999999995</v>
          </cell>
          <cell r="Q354" t="str">
            <v xml:space="preserve">       f.  Other (Hospice)</v>
          </cell>
          <cell r="R354">
            <v>0</v>
          </cell>
          <cell r="S354">
            <v>353.15000000000003</v>
          </cell>
          <cell r="T354">
            <v>0</v>
          </cell>
          <cell r="U354">
            <v>18.22</v>
          </cell>
          <cell r="V354">
            <v>0</v>
          </cell>
          <cell r="W354">
            <v>371.36999999999995</v>
          </cell>
          <cell r="Y354" t="str">
            <v xml:space="preserve">       f.  Other (Hospice)</v>
          </cell>
          <cell r="Z354">
            <v>0</v>
          </cell>
          <cell r="AA354">
            <v>353.15000000000003</v>
          </cell>
          <cell r="AB354">
            <v>0</v>
          </cell>
          <cell r="AC354">
            <v>18.22</v>
          </cell>
          <cell r="AD354">
            <v>0</v>
          </cell>
          <cell r="AE354">
            <v>371.36999999999995</v>
          </cell>
        </row>
        <row r="355">
          <cell r="A355" t="str">
            <v xml:space="preserve">       g.  Attendant Care</v>
          </cell>
          <cell r="B355">
            <v>3117.28</v>
          </cell>
          <cell r="C355">
            <v>3117.28</v>
          </cell>
          <cell r="D355">
            <v>733.61</v>
          </cell>
          <cell r="E355">
            <v>733.61</v>
          </cell>
          <cell r="F355">
            <v>3850.8900000000003</v>
          </cell>
          <cell r="G355">
            <v>3850.8900000000003</v>
          </cell>
          <cell r="I355" t="str">
            <v xml:space="preserve">       g.  Attendant Care</v>
          </cell>
          <cell r="J355">
            <v>0</v>
          </cell>
          <cell r="K355">
            <v>3117.28</v>
          </cell>
          <cell r="L355">
            <v>0</v>
          </cell>
          <cell r="M355">
            <v>733.61</v>
          </cell>
          <cell r="N355">
            <v>0</v>
          </cell>
          <cell r="O355">
            <v>3850.8900000000003</v>
          </cell>
          <cell r="Q355" t="str">
            <v xml:space="preserve">       g.  Attendant Care</v>
          </cell>
          <cell r="R355">
            <v>0</v>
          </cell>
          <cell r="S355">
            <v>3117.28</v>
          </cell>
          <cell r="T355">
            <v>0</v>
          </cell>
          <cell r="U355">
            <v>733.61</v>
          </cell>
          <cell r="V355">
            <v>0</v>
          </cell>
          <cell r="W355">
            <v>3850.8900000000003</v>
          </cell>
          <cell r="Y355" t="str">
            <v xml:space="preserve">       g.  Attendant Care</v>
          </cell>
          <cell r="Z355">
            <v>0</v>
          </cell>
          <cell r="AA355">
            <v>3117.28</v>
          </cell>
          <cell r="AB355">
            <v>0</v>
          </cell>
          <cell r="AC355">
            <v>733.61</v>
          </cell>
          <cell r="AD355">
            <v>0</v>
          </cell>
          <cell r="AE355">
            <v>3850.8900000000003</v>
          </cell>
        </row>
        <row r="356">
          <cell r="A356" t="str">
            <v xml:space="preserve">   8.  Acute Care</v>
          </cell>
          <cell r="B356">
            <v>153.07999999999998</v>
          </cell>
          <cell r="C356">
            <v>153.07999999999998</v>
          </cell>
          <cell r="D356">
            <v>96.039999999999992</v>
          </cell>
          <cell r="E356">
            <v>96.039999999999992</v>
          </cell>
          <cell r="F356">
            <v>249.11999999999998</v>
          </cell>
          <cell r="G356">
            <v>249.11999999999998</v>
          </cell>
          <cell r="I356" t="str">
            <v xml:space="preserve">   8.  Acute Care</v>
          </cell>
          <cell r="J356">
            <v>0</v>
          </cell>
          <cell r="K356">
            <v>153.07999999999998</v>
          </cell>
          <cell r="L356">
            <v>0</v>
          </cell>
          <cell r="M356">
            <v>96.039999999999992</v>
          </cell>
          <cell r="N356">
            <v>0</v>
          </cell>
          <cell r="O356">
            <v>249.11999999999998</v>
          </cell>
          <cell r="Q356" t="str">
            <v xml:space="preserve">   8.  Acute Care</v>
          </cell>
          <cell r="R356">
            <v>0</v>
          </cell>
          <cell r="S356">
            <v>153.07999999999998</v>
          </cell>
          <cell r="T356">
            <v>0</v>
          </cell>
          <cell r="U356">
            <v>96.039999999999992</v>
          </cell>
          <cell r="V356">
            <v>0</v>
          </cell>
          <cell r="W356">
            <v>249.11999999999998</v>
          </cell>
          <cell r="Y356" t="str">
            <v xml:space="preserve">   8.  Acute Care</v>
          </cell>
          <cell r="Z356">
            <v>0</v>
          </cell>
          <cell r="AA356">
            <v>153.07999999999998</v>
          </cell>
          <cell r="AB356">
            <v>0</v>
          </cell>
          <cell r="AC356">
            <v>96.039999999999992</v>
          </cell>
          <cell r="AD356">
            <v>0</v>
          </cell>
          <cell r="AE356">
            <v>249.11999999999998</v>
          </cell>
        </row>
        <row r="357">
          <cell r="A357" t="str">
            <v xml:space="preserve">   9.  Ventilator</v>
          </cell>
          <cell r="B357">
            <v>72.25</v>
          </cell>
          <cell r="C357">
            <v>72.25</v>
          </cell>
          <cell r="D357">
            <v>65.510000000000005</v>
          </cell>
          <cell r="E357">
            <v>65.510000000000005</v>
          </cell>
          <cell r="F357">
            <v>137.76</v>
          </cell>
          <cell r="G357">
            <v>137.76</v>
          </cell>
          <cell r="I357" t="str">
            <v xml:space="preserve">   9.  Ventilator</v>
          </cell>
          <cell r="J357">
            <v>0</v>
          </cell>
          <cell r="K357">
            <v>72.25</v>
          </cell>
          <cell r="L357">
            <v>0</v>
          </cell>
          <cell r="M357">
            <v>65.510000000000005</v>
          </cell>
          <cell r="N357">
            <v>0</v>
          </cell>
          <cell r="O357">
            <v>137.76</v>
          </cell>
          <cell r="Q357" t="str">
            <v xml:space="preserve">   9.  Ventilator</v>
          </cell>
          <cell r="R357">
            <v>0</v>
          </cell>
          <cell r="S357">
            <v>72.25</v>
          </cell>
          <cell r="T357">
            <v>0</v>
          </cell>
          <cell r="U357">
            <v>65.510000000000005</v>
          </cell>
          <cell r="V357">
            <v>0</v>
          </cell>
          <cell r="W357">
            <v>137.76</v>
          </cell>
          <cell r="Y357" t="str">
            <v xml:space="preserve">   9.  Ventilator</v>
          </cell>
          <cell r="Z357">
            <v>0</v>
          </cell>
          <cell r="AA357">
            <v>72.25</v>
          </cell>
          <cell r="AB357">
            <v>0</v>
          </cell>
          <cell r="AC357">
            <v>65.510000000000005</v>
          </cell>
          <cell r="AD357">
            <v>0</v>
          </cell>
          <cell r="AE357">
            <v>137.76</v>
          </cell>
        </row>
        <row r="358">
          <cell r="A358" t="str">
            <v xml:space="preserve">  10.  Prior Period</v>
          </cell>
          <cell r="B358">
            <v>685.04200000000003</v>
          </cell>
          <cell r="C358">
            <v>685.04200000000003</v>
          </cell>
          <cell r="D358">
            <v>50.458000000000006</v>
          </cell>
          <cell r="E358">
            <v>50.458000000000006</v>
          </cell>
          <cell r="F358">
            <v>735.50000000000011</v>
          </cell>
          <cell r="G358">
            <v>735.50000000000011</v>
          </cell>
          <cell r="I358" t="str">
            <v xml:space="preserve">  10.  Prior Period</v>
          </cell>
          <cell r="J358">
            <v>0</v>
          </cell>
          <cell r="K358">
            <v>685.04200000000003</v>
          </cell>
          <cell r="L358">
            <v>0</v>
          </cell>
          <cell r="M358">
            <v>50.458000000000006</v>
          </cell>
          <cell r="N358">
            <v>0</v>
          </cell>
          <cell r="O358">
            <v>735.50000000000011</v>
          </cell>
          <cell r="Q358" t="str">
            <v xml:space="preserve">  10.  Prior Period</v>
          </cell>
          <cell r="R358">
            <v>0</v>
          </cell>
          <cell r="S358">
            <v>685.04200000000003</v>
          </cell>
          <cell r="T358">
            <v>0</v>
          </cell>
          <cell r="U358">
            <v>50.458000000000006</v>
          </cell>
          <cell r="V358">
            <v>0</v>
          </cell>
          <cell r="W358">
            <v>735.50000000000011</v>
          </cell>
          <cell r="Y358" t="str">
            <v xml:space="preserve">  10.  Prior Period</v>
          </cell>
          <cell r="Z358">
            <v>0</v>
          </cell>
          <cell r="AA358">
            <v>685.04200000000003</v>
          </cell>
          <cell r="AB358">
            <v>0</v>
          </cell>
          <cell r="AC358">
            <v>50.458000000000006</v>
          </cell>
          <cell r="AD358">
            <v>0</v>
          </cell>
          <cell r="AE358">
            <v>735.50000000000011</v>
          </cell>
        </row>
        <row r="359">
          <cell r="A359" t="str">
            <v xml:space="preserve">  11.  Other - Not Placed</v>
          </cell>
          <cell r="B359">
            <v>-1937.4099999999978</v>
          </cell>
          <cell r="C359">
            <v>-1937.4099999999978</v>
          </cell>
          <cell r="D359">
            <v>-277.03999999999996</v>
          </cell>
          <cell r="E359">
            <v>-277.03999999999996</v>
          </cell>
          <cell r="F359">
            <v>-2214.449999999998</v>
          </cell>
          <cell r="G359">
            <v>-2214.449999999998</v>
          </cell>
          <cell r="I359" t="str">
            <v xml:space="preserve">  11.  Other - Not Placed</v>
          </cell>
          <cell r="J359">
            <v>0</v>
          </cell>
          <cell r="K359">
            <v>-1937.4099999999978</v>
          </cell>
          <cell r="L359">
            <v>0</v>
          </cell>
          <cell r="M359">
            <v>-277.03999999999996</v>
          </cell>
          <cell r="N359">
            <v>0</v>
          </cell>
          <cell r="O359">
            <v>-2214.449999999998</v>
          </cell>
          <cell r="Q359" t="str">
            <v xml:space="preserve">  11.  Other - Not Placed</v>
          </cell>
          <cell r="R359">
            <v>0</v>
          </cell>
          <cell r="S359">
            <v>-1937.4099999999978</v>
          </cell>
          <cell r="T359">
            <v>0</v>
          </cell>
          <cell r="U359">
            <v>-277.03999999999996</v>
          </cell>
          <cell r="V359">
            <v>0</v>
          </cell>
          <cell r="W359">
            <v>-2214.449999999998</v>
          </cell>
          <cell r="Y359" t="str">
            <v xml:space="preserve">  11.  Other - Not Placed</v>
          </cell>
          <cell r="Z359">
            <v>0</v>
          </cell>
          <cell r="AA359">
            <v>-1937.4099999999978</v>
          </cell>
          <cell r="AB359">
            <v>0</v>
          </cell>
          <cell r="AC359">
            <v>-277.03999999999996</v>
          </cell>
          <cell r="AD359">
            <v>0</v>
          </cell>
          <cell r="AE359">
            <v>-2214.449999999998</v>
          </cell>
        </row>
        <row r="361">
          <cell r="A361" t="str">
            <v>C.   Acute Patient Day Information</v>
          </cell>
          <cell r="I361" t="str">
            <v>C.   Acute Patient Day Information</v>
          </cell>
          <cell r="Q361" t="str">
            <v>C.   Acute Patient Day Information</v>
          </cell>
          <cell r="Y361" t="str">
            <v>C.   Acute Patient Day Information</v>
          </cell>
        </row>
        <row r="362">
          <cell r="A362" t="str">
            <v xml:space="preserve">       a.  Admissions</v>
          </cell>
          <cell r="B362">
            <v>1121</v>
          </cell>
          <cell r="C362">
            <v>1121</v>
          </cell>
          <cell r="D362">
            <v>211</v>
          </cell>
          <cell r="E362">
            <v>211</v>
          </cell>
          <cell r="F362">
            <v>1332</v>
          </cell>
          <cell r="G362">
            <v>1332</v>
          </cell>
          <cell r="I362" t="str">
            <v xml:space="preserve">       a.  Admissions</v>
          </cell>
          <cell r="J362">
            <v>0</v>
          </cell>
          <cell r="K362">
            <v>1121</v>
          </cell>
          <cell r="L362">
            <v>0</v>
          </cell>
          <cell r="M362">
            <v>211</v>
          </cell>
          <cell r="N362">
            <v>0</v>
          </cell>
          <cell r="O362">
            <v>1332</v>
          </cell>
          <cell r="Q362" t="str">
            <v xml:space="preserve">       a.  Admissions</v>
          </cell>
          <cell r="R362">
            <v>0</v>
          </cell>
          <cell r="S362">
            <v>1121</v>
          </cell>
          <cell r="T362">
            <v>0</v>
          </cell>
          <cell r="U362">
            <v>211</v>
          </cell>
          <cell r="V362">
            <v>0</v>
          </cell>
          <cell r="W362">
            <v>1332</v>
          </cell>
          <cell r="Y362" t="str">
            <v xml:space="preserve">       a.  Admissions</v>
          </cell>
          <cell r="Z362">
            <v>0</v>
          </cell>
          <cell r="AA362">
            <v>1121</v>
          </cell>
          <cell r="AB362">
            <v>0</v>
          </cell>
          <cell r="AC362">
            <v>211</v>
          </cell>
          <cell r="AD362">
            <v>0</v>
          </cell>
          <cell r="AE362">
            <v>1332</v>
          </cell>
        </row>
        <row r="363">
          <cell r="A363" t="str">
            <v xml:space="preserve">       b.  Patient Days</v>
          </cell>
          <cell r="B363">
            <v>6094</v>
          </cell>
          <cell r="C363">
            <v>6094</v>
          </cell>
          <cell r="D363">
            <v>1231</v>
          </cell>
          <cell r="E363">
            <v>1231</v>
          </cell>
          <cell r="F363">
            <v>7325</v>
          </cell>
          <cell r="G363">
            <v>7325</v>
          </cell>
          <cell r="I363" t="str">
            <v xml:space="preserve">       b.  Patient Days</v>
          </cell>
          <cell r="J363">
            <v>0</v>
          </cell>
          <cell r="K363">
            <v>6094</v>
          </cell>
          <cell r="L363">
            <v>0</v>
          </cell>
          <cell r="M363">
            <v>1231</v>
          </cell>
          <cell r="N363">
            <v>0</v>
          </cell>
          <cell r="O363">
            <v>7325</v>
          </cell>
          <cell r="Q363" t="str">
            <v xml:space="preserve">       b.  Patient Days</v>
          </cell>
          <cell r="R363">
            <v>0</v>
          </cell>
          <cell r="S363">
            <v>6094</v>
          </cell>
          <cell r="T363">
            <v>0</v>
          </cell>
          <cell r="U363">
            <v>1231</v>
          </cell>
          <cell r="V363">
            <v>0</v>
          </cell>
          <cell r="W363">
            <v>7325</v>
          </cell>
          <cell r="Y363" t="str">
            <v xml:space="preserve">       b.  Patient Days</v>
          </cell>
          <cell r="Z363">
            <v>0</v>
          </cell>
          <cell r="AA363">
            <v>6094</v>
          </cell>
          <cell r="AB363">
            <v>0</v>
          </cell>
          <cell r="AC363">
            <v>1231</v>
          </cell>
          <cell r="AD363">
            <v>0</v>
          </cell>
          <cell r="AE363">
            <v>7325</v>
          </cell>
        </row>
        <row r="364">
          <cell r="A364" t="str">
            <v xml:space="preserve">       c.  Discharges</v>
          </cell>
          <cell r="B364">
            <v>1069</v>
          </cell>
          <cell r="C364">
            <v>1069</v>
          </cell>
          <cell r="D364">
            <v>198</v>
          </cell>
          <cell r="E364">
            <v>198</v>
          </cell>
          <cell r="F364">
            <v>1267</v>
          </cell>
          <cell r="G364">
            <v>1267</v>
          </cell>
          <cell r="I364" t="str">
            <v xml:space="preserve">       c.  Discharges</v>
          </cell>
          <cell r="J364">
            <v>0</v>
          </cell>
          <cell r="K364">
            <v>1069</v>
          </cell>
          <cell r="L364">
            <v>0</v>
          </cell>
          <cell r="M364">
            <v>198</v>
          </cell>
          <cell r="N364">
            <v>0</v>
          </cell>
          <cell r="O364">
            <v>1267</v>
          </cell>
          <cell r="Q364" t="str">
            <v xml:space="preserve">       c.  Discharges</v>
          </cell>
          <cell r="R364">
            <v>0</v>
          </cell>
          <cell r="S364">
            <v>1069</v>
          </cell>
          <cell r="T364">
            <v>0</v>
          </cell>
          <cell r="U364">
            <v>198</v>
          </cell>
          <cell r="V364">
            <v>0</v>
          </cell>
          <cell r="W364">
            <v>1267</v>
          </cell>
          <cell r="Y364" t="str">
            <v xml:space="preserve">       c.  Discharges</v>
          </cell>
          <cell r="Z364">
            <v>0</v>
          </cell>
          <cell r="AA364">
            <v>1069</v>
          </cell>
          <cell r="AB364">
            <v>0</v>
          </cell>
          <cell r="AC364">
            <v>198</v>
          </cell>
          <cell r="AD364">
            <v>0</v>
          </cell>
          <cell r="AE364">
            <v>1267</v>
          </cell>
        </row>
        <row r="365">
          <cell r="A365" t="str">
            <v xml:space="preserve">       d.  Discharge Days</v>
          </cell>
          <cell r="B365">
            <v>4799</v>
          </cell>
          <cell r="C365">
            <v>4799</v>
          </cell>
          <cell r="D365">
            <v>966</v>
          </cell>
          <cell r="E365">
            <v>966</v>
          </cell>
          <cell r="F365">
            <v>5765</v>
          </cell>
          <cell r="G365">
            <v>5765</v>
          </cell>
          <cell r="I365" t="str">
            <v xml:space="preserve">       d.  Discharge Days</v>
          </cell>
          <cell r="J365">
            <v>0</v>
          </cell>
          <cell r="K365">
            <v>4799</v>
          </cell>
          <cell r="L365">
            <v>0</v>
          </cell>
          <cell r="M365">
            <v>966</v>
          </cell>
          <cell r="N365">
            <v>0</v>
          </cell>
          <cell r="O365">
            <v>5765</v>
          </cell>
          <cell r="Q365" t="str">
            <v xml:space="preserve">       d.  Discharge Days</v>
          </cell>
          <cell r="R365">
            <v>0</v>
          </cell>
          <cell r="S365">
            <v>4799</v>
          </cell>
          <cell r="T365">
            <v>0</v>
          </cell>
          <cell r="U365">
            <v>966</v>
          </cell>
          <cell r="V365">
            <v>0</v>
          </cell>
          <cell r="W365">
            <v>5765</v>
          </cell>
          <cell r="Y365" t="str">
            <v xml:space="preserve">       d.  Discharge Days</v>
          </cell>
          <cell r="Z365">
            <v>0</v>
          </cell>
          <cell r="AA365">
            <v>4799</v>
          </cell>
          <cell r="AB365">
            <v>0</v>
          </cell>
          <cell r="AC365">
            <v>966</v>
          </cell>
          <cell r="AD365">
            <v>0</v>
          </cell>
          <cell r="AE365">
            <v>5765</v>
          </cell>
        </row>
        <row r="366">
          <cell r="A366" t="str">
            <v xml:space="preserve">       e.  Average Length of Stay</v>
          </cell>
          <cell r="B366">
            <v>4.489242282507016</v>
          </cell>
          <cell r="C366">
            <v>4.489242282507016</v>
          </cell>
          <cell r="D366">
            <v>4.8787878787878789</v>
          </cell>
          <cell r="E366">
            <v>4.8787878787878789</v>
          </cell>
          <cell r="F366">
            <v>4.5501183898973956</v>
          </cell>
          <cell r="G366">
            <v>4.5501183898973956</v>
          </cell>
          <cell r="I366" t="str">
            <v xml:space="preserve">       e.  Average Length of Stay</v>
          </cell>
          <cell r="J366">
            <v>0</v>
          </cell>
          <cell r="K366">
            <v>4.489242282507016</v>
          </cell>
          <cell r="L366">
            <v>0</v>
          </cell>
          <cell r="M366">
            <v>4.8787878787878789</v>
          </cell>
          <cell r="N366">
            <v>0</v>
          </cell>
          <cell r="O366">
            <v>4.5501183898973956</v>
          </cell>
          <cell r="Q366" t="str">
            <v xml:space="preserve">       e.  Average Length of Stay</v>
          </cell>
          <cell r="R366">
            <v>0</v>
          </cell>
          <cell r="S366">
            <v>4.489242282507016</v>
          </cell>
          <cell r="T366">
            <v>0</v>
          </cell>
          <cell r="U366">
            <v>4.8787878787878789</v>
          </cell>
          <cell r="V366">
            <v>0</v>
          </cell>
          <cell r="W366">
            <v>4.5501183898973956</v>
          </cell>
          <cell r="Y366" t="str">
            <v xml:space="preserve">       e.  Average Length of Stay</v>
          </cell>
          <cell r="Z366">
            <v>0</v>
          </cell>
          <cell r="AA366">
            <v>4.489242282507016</v>
          </cell>
          <cell r="AB366">
            <v>0</v>
          </cell>
          <cell r="AC366">
            <v>4.8787878787878789</v>
          </cell>
          <cell r="AD366">
            <v>0</v>
          </cell>
          <cell r="AE366">
            <v>4.5501183898973956</v>
          </cell>
        </row>
        <row r="368">
          <cell r="A368" t="str">
            <v>D.   Emergency Room Visits</v>
          </cell>
          <cell r="B368">
            <v>454</v>
          </cell>
          <cell r="C368">
            <v>454</v>
          </cell>
          <cell r="D368">
            <v>199</v>
          </cell>
          <cell r="E368">
            <v>199</v>
          </cell>
          <cell r="F368">
            <v>653</v>
          </cell>
          <cell r="G368">
            <v>653</v>
          </cell>
          <cell r="I368" t="str">
            <v>D.   Emergency Room Visits</v>
          </cell>
          <cell r="J368">
            <v>0</v>
          </cell>
          <cell r="K368">
            <v>454</v>
          </cell>
          <cell r="L368">
            <v>0</v>
          </cell>
          <cell r="M368">
            <v>199</v>
          </cell>
          <cell r="N368">
            <v>0</v>
          </cell>
          <cell r="O368">
            <v>653</v>
          </cell>
          <cell r="Q368" t="str">
            <v>D.   Emergency Room Visits</v>
          </cell>
          <cell r="R368">
            <v>0</v>
          </cell>
          <cell r="S368">
            <v>454</v>
          </cell>
          <cell r="T368">
            <v>0</v>
          </cell>
          <cell r="U368">
            <v>199</v>
          </cell>
          <cell r="V368">
            <v>0</v>
          </cell>
          <cell r="W368">
            <v>653</v>
          </cell>
          <cell r="Y368" t="str">
            <v>D.   Emergency Room Visits</v>
          </cell>
          <cell r="Z368">
            <v>0</v>
          </cell>
          <cell r="AA368">
            <v>454</v>
          </cell>
          <cell r="AB368">
            <v>0</v>
          </cell>
          <cell r="AC368">
            <v>199</v>
          </cell>
          <cell r="AD368">
            <v>0</v>
          </cell>
          <cell r="AE368">
            <v>653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chemeClr val="bg1"/>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F40AA-AE37-4AE1-8B83-46330686452D}">
  <sheetPr>
    <pageSetUpPr fitToPage="1"/>
  </sheetPr>
  <dimension ref="A1:M57"/>
  <sheetViews>
    <sheetView showGridLines="0" zoomScaleNormal="100" zoomScaleSheetLayoutView="75" workbookViewId="0">
      <selection activeCell="P39" sqref="P39"/>
    </sheetView>
  </sheetViews>
  <sheetFormatPr defaultColWidth="9.1796875" defaultRowHeight="14.5" x14ac:dyDescent="0.35"/>
  <cols>
    <col min="1" max="2" width="9.1796875" style="21"/>
    <col min="3" max="3" width="9.1796875" style="44"/>
    <col min="4" max="8" width="9.1796875" style="21"/>
    <col min="9" max="9" width="10.1796875" style="21" customWidth="1"/>
    <col min="10" max="16384" width="9.1796875" style="21"/>
  </cols>
  <sheetData>
    <row r="1" spans="1:13" ht="15" thickBot="1" x14ac:dyDescent="0.4">
      <c r="A1" s="1443" t="s">
        <v>0</v>
      </c>
      <c r="B1" s="1444"/>
      <c r="C1" s="1444"/>
      <c r="D1" s="1444"/>
      <c r="E1" s="1444"/>
      <c r="F1" s="1444"/>
      <c r="G1" s="1444"/>
      <c r="H1" s="1444"/>
      <c r="I1" s="1444"/>
      <c r="J1" s="1447"/>
      <c r="K1" s="1447"/>
      <c r="L1" s="1447"/>
      <c r="M1" s="1448"/>
    </row>
    <row r="2" spans="1:13" x14ac:dyDescent="0.35">
      <c r="A2" s="11"/>
    </row>
    <row r="5" spans="1:13" x14ac:dyDescent="0.35">
      <c r="A5" s="1331"/>
      <c r="B5" s="1331"/>
      <c r="C5" s="1331"/>
      <c r="D5" s="1331"/>
      <c r="E5" s="2136" t="s">
        <v>1</v>
      </c>
      <c r="F5" s="2136"/>
      <c r="G5" s="2136"/>
      <c r="H5" s="2136"/>
      <c r="I5" s="2136"/>
    </row>
    <row r="7" spans="1:13" ht="15" thickBot="1" x14ac:dyDescent="0.4">
      <c r="A7" s="1331"/>
      <c r="B7" s="1331"/>
      <c r="C7" s="1331"/>
      <c r="D7" s="1331"/>
      <c r="E7" s="2137"/>
      <c r="F7" s="2137"/>
      <c r="G7" s="2137"/>
      <c r="H7" s="2137"/>
      <c r="I7" s="2137"/>
    </row>
    <row r="9" spans="1:13" ht="15" thickBot="1" x14ac:dyDescent="0.4">
      <c r="A9" s="1331"/>
      <c r="B9" s="1331"/>
      <c r="C9" s="1331"/>
      <c r="D9" s="1331"/>
      <c r="E9" s="2137"/>
      <c r="F9" s="2137"/>
      <c r="G9" s="2137"/>
      <c r="H9" s="2137"/>
      <c r="I9" s="2137"/>
    </row>
    <row r="11" spans="1:13" x14ac:dyDescent="0.35">
      <c r="A11" s="1331"/>
      <c r="B11" s="1331"/>
      <c r="C11" s="1331"/>
      <c r="D11" s="1331"/>
      <c r="E11" s="1331"/>
      <c r="F11" s="1331"/>
      <c r="G11" s="1331" t="s">
        <v>2</v>
      </c>
      <c r="H11" s="1331"/>
      <c r="I11" s="1331"/>
    </row>
    <row r="13" spans="1:13" x14ac:dyDescent="0.35">
      <c r="A13" s="1331"/>
      <c r="B13" s="1331"/>
      <c r="C13" s="1331"/>
      <c r="D13" s="1331"/>
      <c r="E13" s="2138" t="s">
        <v>3</v>
      </c>
      <c r="F13" s="2138"/>
      <c r="G13" s="2138"/>
      <c r="H13" s="2138"/>
      <c r="I13" s="2138"/>
    </row>
    <row r="16" spans="1:13" x14ac:dyDescent="0.35">
      <c r="A16" s="1331"/>
      <c r="B16" s="1331"/>
      <c r="C16" s="1331"/>
      <c r="D16" s="1331"/>
      <c r="E16" s="2139" t="s">
        <v>4</v>
      </c>
      <c r="F16" s="2139"/>
      <c r="G16" s="2139"/>
      <c r="H16" s="2139"/>
      <c r="I16" s="2139"/>
    </row>
    <row r="18" spans="2:9" ht="15" thickBot="1" x14ac:dyDescent="0.4">
      <c r="B18" s="1331"/>
      <c r="C18" s="1331"/>
      <c r="D18" s="1331"/>
      <c r="E18" s="2140"/>
      <c r="F18" s="2140"/>
      <c r="G18" s="2140"/>
      <c r="H18" s="2140"/>
      <c r="I18" s="2140"/>
    </row>
    <row r="21" spans="2:9" ht="15" thickBot="1" x14ac:dyDescent="0.4">
      <c r="B21" s="1331" t="s">
        <v>5</v>
      </c>
      <c r="C21" s="1331"/>
      <c r="D21" s="2135"/>
      <c r="E21" s="2135"/>
      <c r="F21" s="2135"/>
      <c r="G21" s="2135"/>
      <c r="H21" s="1331"/>
      <c r="I21" s="1331"/>
    </row>
    <row r="22" spans="2:9" x14ac:dyDescent="0.35">
      <c r="D22" s="2005"/>
      <c r="E22" s="2005"/>
      <c r="F22" s="2005"/>
      <c r="G22" s="2005"/>
    </row>
    <row r="23" spans="2:9" ht="15" thickBot="1" x14ac:dyDescent="0.4">
      <c r="B23" s="1331" t="s">
        <v>6</v>
      </c>
      <c r="C23" s="1331"/>
      <c r="D23" s="2135"/>
      <c r="E23" s="2135"/>
      <c r="F23" s="2135"/>
      <c r="G23" s="2135"/>
      <c r="H23" s="1331"/>
      <c r="I23" s="1331"/>
    </row>
    <row r="24" spans="2:9" x14ac:dyDescent="0.35">
      <c r="D24" s="2005"/>
      <c r="E24" s="2005"/>
      <c r="F24" s="2005"/>
      <c r="G24" s="2005"/>
    </row>
    <row r="25" spans="2:9" ht="15" thickBot="1" x14ac:dyDescent="0.4">
      <c r="B25" s="1331" t="s">
        <v>7</v>
      </c>
      <c r="C25" s="1331"/>
      <c r="D25" s="2135"/>
      <c r="E25" s="2135"/>
      <c r="F25" s="2135"/>
      <c r="G25" s="2135"/>
      <c r="H25" s="1331"/>
      <c r="I25" s="1331"/>
    </row>
    <row r="29" spans="2:9" x14ac:dyDescent="0.35">
      <c r="B29" s="1332" t="s">
        <v>8</v>
      </c>
      <c r="C29" s="1332"/>
      <c r="D29" s="1332"/>
      <c r="E29" s="1332"/>
      <c r="F29" s="1332"/>
      <c r="G29" s="1332"/>
      <c r="H29" s="1332"/>
      <c r="I29" s="1332"/>
    </row>
    <row r="30" spans="2:9" x14ac:dyDescent="0.35">
      <c r="B30" s="1332" t="s">
        <v>9</v>
      </c>
      <c r="C30" s="1332"/>
      <c r="D30" s="1332"/>
      <c r="E30" s="1332"/>
      <c r="F30" s="1332"/>
      <c r="G30" s="1332"/>
      <c r="H30" s="1332"/>
      <c r="I30" s="1332"/>
    </row>
    <row r="31" spans="2:9" x14ac:dyDescent="0.35">
      <c r="B31" s="1332" t="s">
        <v>10</v>
      </c>
      <c r="C31" s="1332"/>
      <c r="D31" s="1332"/>
      <c r="E31" s="1332"/>
      <c r="F31" s="1332"/>
      <c r="G31" s="1332"/>
      <c r="H31" s="1332"/>
      <c r="I31" s="1332"/>
    </row>
    <row r="32" spans="2:9" x14ac:dyDescent="0.35">
      <c r="B32" s="1332" t="s">
        <v>11</v>
      </c>
      <c r="C32" s="1332"/>
      <c r="D32" s="1332"/>
      <c r="E32" s="1332"/>
      <c r="F32" s="1332"/>
      <c r="G32" s="1332"/>
      <c r="H32" s="1332"/>
      <c r="I32" s="1332"/>
    </row>
    <row r="33" spans="2:8" x14ac:dyDescent="0.35">
      <c r="B33" s="1332" t="s">
        <v>12</v>
      </c>
      <c r="C33" s="1332"/>
      <c r="D33" s="1332"/>
      <c r="E33" s="1332"/>
      <c r="F33" s="1332"/>
      <c r="G33" s="1332"/>
      <c r="H33" s="1332"/>
    </row>
    <row r="34" spans="2:8" x14ac:dyDescent="0.35">
      <c r="B34" s="1332" t="s">
        <v>13</v>
      </c>
      <c r="C34" s="1332"/>
      <c r="D34" s="1332"/>
      <c r="E34" s="1332"/>
      <c r="F34" s="1332"/>
      <c r="G34" s="1332"/>
      <c r="H34" s="1332"/>
    </row>
    <row r="35" spans="2:8" x14ac:dyDescent="0.35">
      <c r="B35" s="1332" t="s">
        <v>14</v>
      </c>
      <c r="C35" s="1332"/>
      <c r="D35" s="1332"/>
      <c r="E35" s="1332"/>
      <c r="F35" s="1332"/>
      <c r="G35" s="1332"/>
      <c r="H35" s="1332"/>
    </row>
    <row r="36" spans="2:8" x14ac:dyDescent="0.35">
      <c r="B36" s="1332" t="s">
        <v>15</v>
      </c>
      <c r="C36" s="1332"/>
      <c r="D36" s="1332"/>
      <c r="E36" s="1332"/>
      <c r="F36" s="1332"/>
      <c r="G36" s="1332"/>
      <c r="H36" s="1332"/>
    </row>
    <row r="37" spans="2:8" x14ac:dyDescent="0.35">
      <c r="B37" s="1332" t="s">
        <v>16</v>
      </c>
      <c r="C37" s="1332"/>
      <c r="D37" s="1332"/>
      <c r="E37" s="1332"/>
      <c r="F37" s="1332"/>
      <c r="G37" s="1332"/>
      <c r="H37" s="1332"/>
    </row>
    <row r="38" spans="2:8" x14ac:dyDescent="0.35">
      <c r="B38" s="1332"/>
      <c r="C38" s="1332"/>
      <c r="D38" s="1332"/>
      <c r="E38" s="1332"/>
      <c r="F38" s="1332"/>
      <c r="G38" s="1332"/>
      <c r="H38" s="1332"/>
    </row>
    <row r="41" spans="2:8" ht="15" thickBot="1" x14ac:dyDescent="0.4">
      <c r="B41" s="2133"/>
      <c r="C41" s="2133"/>
      <c r="D41" s="2133"/>
      <c r="E41" s="2133"/>
      <c r="F41" s="2133"/>
      <c r="G41" s="2133"/>
      <c r="H41" s="2133"/>
    </row>
    <row r="42" spans="2:8" x14ac:dyDescent="0.35">
      <c r="B42" s="1333" t="s">
        <v>17</v>
      </c>
      <c r="C42" s="1334"/>
      <c r="D42" s="1334"/>
      <c r="E42" s="1334"/>
      <c r="F42" s="1334"/>
      <c r="G42" s="1334"/>
      <c r="H42" s="1334"/>
    </row>
    <row r="43" spans="2:8" x14ac:dyDescent="0.35">
      <c r="B43" s="705"/>
      <c r="C43" s="705"/>
      <c r="D43" s="705"/>
      <c r="E43" s="705"/>
      <c r="F43" s="705"/>
      <c r="G43" s="705"/>
      <c r="H43" s="705"/>
    </row>
    <row r="44" spans="2:8" ht="15" thickBot="1" x14ac:dyDescent="0.4">
      <c r="B44" s="2134"/>
      <c r="C44" s="2134"/>
      <c r="D44" s="2134"/>
      <c r="E44" s="2134"/>
      <c r="F44" s="2134"/>
      <c r="G44" s="2134"/>
      <c r="H44" s="2134"/>
    </row>
    <row r="45" spans="2:8" x14ac:dyDescent="0.35">
      <c r="B45" s="1333" t="s">
        <v>18</v>
      </c>
      <c r="C45" s="1334"/>
      <c r="D45" s="1334"/>
      <c r="E45" s="1334"/>
      <c r="F45" s="1334"/>
      <c r="G45" s="1334"/>
      <c r="H45" s="1334"/>
    </row>
    <row r="46" spans="2:8" x14ac:dyDescent="0.35">
      <c r="B46" s="705"/>
      <c r="C46" s="705"/>
      <c r="D46" s="705"/>
      <c r="E46" s="705"/>
      <c r="F46" s="705"/>
      <c r="G46" s="705"/>
      <c r="H46" s="705"/>
    </row>
    <row r="47" spans="2:8" ht="15" thickBot="1" x14ac:dyDescent="0.4">
      <c r="B47" s="2134"/>
      <c r="C47" s="2134"/>
      <c r="D47" s="2134"/>
      <c r="E47" s="2134"/>
      <c r="F47" s="2134"/>
      <c r="G47" s="2134"/>
      <c r="H47" s="2134"/>
    </row>
    <row r="48" spans="2:8" x14ac:dyDescent="0.35">
      <c r="B48" s="1333" t="s">
        <v>19</v>
      </c>
      <c r="C48" s="1334"/>
      <c r="D48" s="1334"/>
      <c r="E48" s="1334"/>
      <c r="F48" s="1334"/>
      <c r="G48" s="1334"/>
      <c r="H48" s="1334"/>
    </row>
    <row r="50" spans="2:8" ht="15" thickBot="1" x14ac:dyDescent="0.4">
      <c r="B50" s="2133"/>
      <c r="C50" s="2133"/>
      <c r="D50" s="2133"/>
      <c r="E50" s="2133"/>
      <c r="F50" s="2133"/>
      <c r="G50" s="2133"/>
      <c r="H50" s="2133"/>
    </row>
    <row r="51" spans="2:8" x14ac:dyDescent="0.35">
      <c r="B51" s="1333" t="s">
        <v>17</v>
      </c>
      <c r="C51" s="1334"/>
      <c r="D51" s="1334"/>
      <c r="E51" s="1334"/>
      <c r="F51" s="1334"/>
      <c r="G51" s="1334"/>
      <c r="H51" s="1334"/>
    </row>
    <row r="52" spans="2:8" x14ac:dyDescent="0.35">
      <c r="B52" s="705"/>
      <c r="C52" s="705"/>
      <c r="D52" s="705"/>
      <c r="E52" s="705"/>
      <c r="F52" s="705"/>
      <c r="G52" s="705"/>
      <c r="H52" s="705"/>
    </row>
    <row r="53" spans="2:8" ht="15" thickBot="1" x14ac:dyDescent="0.4">
      <c r="B53" s="2134"/>
      <c r="C53" s="2134"/>
      <c r="D53" s="2134"/>
      <c r="E53" s="2134"/>
      <c r="F53" s="2134"/>
      <c r="G53" s="2134"/>
      <c r="H53" s="2134"/>
    </row>
    <row r="54" spans="2:8" x14ac:dyDescent="0.35">
      <c r="B54" s="1333" t="s">
        <v>20</v>
      </c>
      <c r="C54" s="1334"/>
      <c r="D54" s="1334"/>
      <c r="E54" s="1334"/>
      <c r="F54" s="1334"/>
      <c r="G54" s="1334"/>
      <c r="H54" s="1334"/>
    </row>
    <row r="55" spans="2:8" x14ac:dyDescent="0.35">
      <c r="B55" s="705"/>
      <c r="C55" s="705"/>
      <c r="D55" s="705"/>
      <c r="E55" s="705"/>
      <c r="F55" s="705"/>
      <c r="G55" s="705"/>
      <c r="H55" s="705"/>
    </row>
    <row r="56" spans="2:8" ht="15" thickBot="1" x14ac:dyDescent="0.4">
      <c r="B56" s="2134"/>
      <c r="C56" s="2134"/>
      <c r="D56" s="2134"/>
      <c r="E56" s="2134"/>
      <c r="F56" s="2134"/>
      <c r="G56" s="2134"/>
      <c r="H56" s="2134"/>
    </row>
    <row r="57" spans="2:8" x14ac:dyDescent="0.35">
      <c r="B57" s="1335" t="s">
        <v>21</v>
      </c>
      <c r="C57" s="1331"/>
      <c r="D57" s="1331"/>
      <c r="E57" s="1331"/>
      <c r="F57" s="1331"/>
      <c r="G57" s="1331"/>
      <c r="H57" s="1331"/>
    </row>
  </sheetData>
  <mergeCells count="15">
    <mergeCell ref="D21:G21"/>
    <mergeCell ref="D23:G23"/>
    <mergeCell ref="D25:G25"/>
    <mergeCell ref="E5:I5"/>
    <mergeCell ref="E7:I7"/>
    <mergeCell ref="E9:I9"/>
    <mergeCell ref="E13:I13"/>
    <mergeCell ref="E16:I16"/>
    <mergeCell ref="E18:I18"/>
    <mergeCell ref="B41:H41"/>
    <mergeCell ref="B56:H56"/>
    <mergeCell ref="B53:H53"/>
    <mergeCell ref="B50:H50"/>
    <mergeCell ref="B47:H47"/>
    <mergeCell ref="B44:H44"/>
  </mergeCells>
  <pageMargins left="0.22" right="0.17" top="0.3" bottom="1" header="0.17" footer="0.5"/>
  <pageSetup orientation="portrait" r:id="rId1"/>
  <headerFooter alignWithMargins="0">
    <oddFooter>&amp;L&amp;Z&amp;F&amp;A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7BD5-9EF5-457F-B325-EBCBDE1CC02B}">
  <sheetPr>
    <pageSetUpPr fitToPage="1"/>
  </sheetPr>
  <dimension ref="A1:K44"/>
  <sheetViews>
    <sheetView showGridLines="0" zoomScaleNormal="100" zoomScaleSheetLayoutView="75" workbookViewId="0">
      <selection activeCell="D33" sqref="D33"/>
    </sheetView>
  </sheetViews>
  <sheetFormatPr defaultColWidth="9.1796875" defaultRowHeight="14.5" x14ac:dyDescent="0.35"/>
  <cols>
    <col min="1" max="1" width="3.7265625" style="21" customWidth="1"/>
    <col min="2" max="2" width="47.453125" style="21" bestFit="1" customWidth="1"/>
    <col min="3" max="3" width="62.453125" style="21" bestFit="1" customWidth="1"/>
    <col min="4" max="5" width="26.7265625" style="21" customWidth="1"/>
    <col min="6" max="6" width="87.1796875" style="21" customWidth="1"/>
    <col min="7" max="9" width="9.1796875" style="21"/>
    <col min="10" max="10" width="9.1796875" style="21" customWidth="1"/>
    <col min="11" max="11" width="7.26953125" style="21" hidden="1" customWidth="1"/>
    <col min="12" max="16384" width="9.1796875" style="21"/>
  </cols>
  <sheetData>
    <row r="1" spans="1:11" ht="15" thickBot="1" x14ac:dyDescent="0.4">
      <c r="A1" s="1439" t="s">
        <v>22</v>
      </c>
      <c r="B1" s="1440"/>
      <c r="C1" s="1441"/>
      <c r="D1" s="1441"/>
      <c r="E1" s="1442"/>
      <c r="K1" s="21" t="s">
        <v>23</v>
      </c>
    </row>
    <row r="2" spans="1:11" x14ac:dyDescent="0.35">
      <c r="A2" s="11" t="s">
        <v>24</v>
      </c>
      <c r="C2" s="11"/>
      <c r="D2" s="11"/>
      <c r="E2" s="11"/>
      <c r="K2" s="21" t="s">
        <v>25</v>
      </c>
    </row>
    <row r="3" spans="1:11" x14ac:dyDescent="0.35">
      <c r="A3" s="21" t="s">
        <v>26</v>
      </c>
      <c r="B3" s="1302"/>
      <c r="C3" s="1302"/>
      <c r="D3" s="1302"/>
      <c r="E3" s="1302"/>
      <c r="K3" s="21" t="s">
        <v>27</v>
      </c>
    </row>
    <row r="4" spans="1:11" x14ac:dyDescent="0.35">
      <c r="A4" s="1303" t="s">
        <v>28</v>
      </c>
      <c r="B4" s="1302"/>
      <c r="C4" s="1302"/>
      <c r="D4" s="1302"/>
      <c r="E4" s="1302"/>
      <c r="K4" s="21" t="s">
        <v>29</v>
      </c>
    </row>
    <row r="5" spans="1:11" x14ac:dyDescent="0.35">
      <c r="A5" s="1303" t="s">
        <v>30</v>
      </c>
      <c r="B5" s="1302"/>
      <c r="C5" s="1302"/>
      <c r="D5" s="1302"/>
      <c r="E5" s="1302"/>
      <c r="K5" s="21" t="s">
        <v>31</v>
      </c>
    </row>
    <row r="6" spans="1:11" x14ac:dyDescent="0.35">
      <c r="A6" s="21" t="s">
        <v>32</v>
      </c>
      <c r="B6" s="1302"/>
      <c r="C6" s="1302"/>
      <c r="D6" s="1302"/>
      <c r="E6" s="1302"/>
    </row>
    <row r="7" spans="1:11" x14ac:dyDescent="0.35">
      <c r="A7" s="1304" t="s">
        <v>33</v>
      </c>
      <c r="B7" s="1304"/>
      <c r="C7" s="1302"/>
      <c r="D7" s="1302"/>
      <c r="E7" s="1302"/>
    </row>
    <row r="8" spans="1:11" x14ac:dyDescent="0.35">
      <c r="A8" s="1304" t="s">
        <v>34</v>
      </c>
      <c r="B8" s="1304"/>
      <c r="C8" s="1302"/>
      <c r="D8" s="1302"/>
      <c r="E8" s="1302"/>
    </row>
    <row r="9" spans="1:11" x14ac:dyDescent="0.35">
      <c r="A9" s="1304" t="s">
        <v>35</v>
      </c>
      <c r="B9" s="1304"/>
      <c r="C9" s="1302"/>
      <c r="D9" s="1302"/>
      <c r="E9" s="1302"/>
    </row>
    <row r="10" spans="1:11" x14ac:dyDescent="0.35">
      <c r="A10" s="1304" t="s">
        <v>36</v>
      </c>
      <c r="B10" s="1304"/>
      <c r="C10" s="1302"/>
      <c r="D10" s="1302"/>
      <c r="E10" s="1302"/>
    </row>
    <row r="11" spans="1:11" x14ac:dyDescent="0.35">
      <c r="A11" s="1304" t="s">
        <v>37</v>
      </c>
      <c r="B11" s="1302"/>
      <c r="C11" s="1302"/>
      <c r="D11" s="1302"/>
      <c r="E11" s="1302"/>
    </row>
    <row r="12" spans="1:11" x14ac:dyDescent="0.35">
      <c r="A12" s="21" t="s">
        <v>38</v>
      </c>
      <c r="B12" s="1302"/>
      <c r="C12" s="1302"/>
      <c r="D12" s="1302"/>
      <c r="E12" s="1302"/>
    </row>
    <row r="13" spans="1:11" x14ac:dyDescent="0.35">
      <c r="A13" s="2141" t="s">
        <v>39</v>
      </c>
      <c r="B13" s="2141"/>
      <c r="C13" s="2141"/>
      <c r="D13" s="1302"/>
      <c r="E13" s="1302"/>
    </row>
    <row r="14" spans="1:11" ht="14.25" customHeight="1" x14ac:dyDescent="0.35">
      <c r="A14" s="705" t="s">
        <v>40</v>
      </c>
      <c r="B14" s="705"/>
      <c r="C14" s="705"/>
      <c r="D14" s="1302"/>
      <c r="E14" s="1302"/>
    </row>
    <row r="15" spans="1:11" x14ac:dyDescent="0.35">
      <c r="A15" s="21" t="s">
        <v>41</v>
      </c>
      <c r="B15" s="1302"/>
      <c r="C15" s="1302"/>
      <c r="D15" s="1302"/>
      <c r="E15" s="1302"/>
    </row>
    <row r="16" spans="1:11" x14ac:dyDescent="0.35">
      <c r="A16" s="1303" t="s">
        <v>42</v>
      </c>
      <c r="B16" s="1302"/>
      <c r="C16" s="1302"/>
      <c r="D16" s="1302"/>
      <c r="E16" s="1302"/>
    </row>
    <row r="17" spans="1:6" x14ac:dyDescent="0.35">
      <c r="A17" s="1303" t="s">
        <v>43</v>
      </c>
      <c r="B17" s="1302"/>
      <c r="C17" s="1302"/>
      <c r="D17" s="1302"/>
      <c r="E17" s="1302"/>
    </row>
    <row r="18" spans="1:6" ht="15" thickBot="1" x14ac:dyDescent="0.4"/>
    <row r="19" spans="1:6" ht="15" thickBot="1" x14ac:dyDescent="0.4">
      <c r="B19" s="2142" t="s">
        <v>44</v>
      </c>
      <c r="C19" s="2143"/>
      <c r="D19" s="2143"/>
      <c r="E19" s="2144"/>
    </row>
    <row r="20" spans="1:6" x14ac:dyDescent="0.35">
      <c r="B20" s="1305" t="s">
        <v>45</v>
      </c>
      <c r="C20" s="1306" t="s">
        <v>23</v>
      </c>
      <c r="D20" s="25"/>
      <c r="E20" s="26"/>
    </row>
    <row r="21" spans="1:6" x14ac:dyDescent="0.35">
      <c r="B21" s="1307" t="s">
        <v>46</v>
      </c>
      <c r="C21" s="1308" t="s">
        <v>47</v>
      </c>
      <c r="E21" s="28"/>
    </row>
    <row r="22" spans="1:6" x14ac:dyDescent="0.35">
      <c r="B22" s="1307" t="s">
        <v>48</v>
      </c>
      <c r="C22" s="1308" t="s">
        <v>47</v>
      </c>
      <c r="E22" s="28"/>
    </row>
    <row r="23" spans="1:6" ht="15" thickBot="1" x14ac:dyDescent="0.4">
      <c r="B23" s="1307" t="s">
        <v>49</v>
      </c>
      <c r="C23" s="1309">
        <v>45930</v>
      </c>
      <c r="D23" s="37"/>
      <c r="E23" s="38"/>
    </row>
    <row r="24" spans="1:6" x14ac:dyDescent="0.35">
      <c r="B24" s="2150" t="s">
        <v>50</v>
      </c>
      <c r="C24" s="2151"/>
      <c r="D24" s="2151"/>
      <c r="E24" s="2152"/>
    </row>
    <row r="25" spans="1:6" x14ac:dyDescent="0.35">
      <c r="B25" s="27"/>
      <c r="E25" s="28"/>
    </row>
    <row r="26" spans="1:6" x14ac:dyDescent="0.35">
      <c r="B26" s="1310"/>
      <c r="C26" s="1302"/>
      <c r="D26" s="1311" t="s">
        <v>51</v>
      </c>
      <c r="E26" s="1312" t="s">
        <v>52</v>
      </c>
    </row>
    <row r="27" spans="1:6" x14ac:dyDescent="0.35">
      <c r="B27" s="1313" t="s">
        <v>53</v>
      </c>
      <c r="C27" s="1314" t="s">
        <v>54</v>
      </c>
      <c r="D27" s="1315" cm="1">
        <f t="array" ref="D27">IFERROR(_xlfn.XLOOKUP($C$21,'FS-Balance Sheet 3.04'!$C$5:$F$5,_xlfn.XLOOKUP(19999,'FS-Balance Sheet 3.04'!$A$9:$A$101,'FS-Balance Sheet 3.04'!$C$9:$F$101,,0)),0)</f>
        <v>0</v>
      </c>
      <c r="E27" s="1316" cm="1">
        <f t="array" ref="E27">IFERROR(_xlfn.XLOOKUP($C$21,'FS-Balance Sheet 3.04'!$C$5:$F$5,_xlfn.XLOOKUP(39992,'FS-Balance Sheet 3.04'!$A$9:$A$101,'FS-Balance Sheet 3.04'!$C$9:$F$101,,0)),0)</f>
        <v>0</v>
      </c>
      <c r="F27" s="21" t="str">
        <f>IF(ROUND(D27,0)&lt;&gt;ROUND(E27,0),"Total Assets do not match Liabilities + Total Equity. Correction Required","")</f>
        <v/>
      </c>
    </row>
    <row r="28" spans="1:6" ht="15" thickBot="1" x14ac:dyDescent="0.4">
      <c r="B28" s="36"/>
      <c r="C28" s="1317"/>
      <c r="D28" s="1318"/>
      <c r="E28" s="1319"/>
    </row>
    <row r="29" spans="1:6" x14ac:dyDescent="0.35">
      <c r="B29" s="2145" t="s">
        <v>55</v>
      </c>
      <c r="C29" s="2146"/>
      <c r="D29" s="2146"/>
      <c r="E29" s="2147"/>
    </row>
    <row r="30" spans="1:6" x14ac:dyDescent="0.35">
      <c r="B30" s="1320"/>
      <c r="C30" s="705"/>
      <c r="D30" s="705"/>
      <c r="E30" s="1321"/>
    </row>
    <row r="31" spans="1:6" x14ac:dyDescent="0.35">
      <c r="B31" s="1310"/>
      <c r="C31" s="1302"/>
      <c r="D31" s="1311" t="s">
        <v>56</v>
      </c>
      <c r="E31" s="1312" t="s">
        <v>57</v>
      </c>
    </row>
    <row r="32" spans="1:6" x14ac:dyDescent="0.35">
      <c r="B32" s="1322" t="s">
        <v>58</v>
      </c>
      <c r="C32" s="1323" t="s">
        <v>59</v>
      </c>
      <c r="D32" s="1315">
        <f>'Receivables_Payable 4.02 &amp; 4.03'!D74</f>
        <v>0</v>
      </c>
      <c r="E32" s="1316">
        <f>'Receivables_Payable 4.02 &amp; 4.03'!C74</f>
        <v>0</v>
      </c>
    </row>
    <row r="33" spans="2:6" x14ac:dyDescent="0.35">
      <c r="B33" s="1313" t="s">
        <v>60</v>
      </c>
      <c r="C33" s="1324" t="s">
        <v>61</v>
      </c>
      <c r="D33" s="1315">
        <f>'Other Assets 4.04'!E45</f>
        <v>0</v>
      </c>
      <c r="E33" s="1316">
        <f>'Other Assets 4.04'!D45</f>
        <v>0</v>
      </c>
      <c r="F33" s="21" t="str">
        <f>IF(ROUND(D33,0)&lt;&gt;ROUND(E33,0),"Balance Sheet does not matchReport #4.04. Correction required.","")</f>
        <v/>
      </c>
    </row>
    <row r="34" spans="2:6" x14ac:dyDescent="0.35">
      <c r="B34" s="1313" t="s">
        <v>62</v>
      </c>
      <c r="C34" s="1324" t="s">
        <v>63</v>
      </c>
      <c r="D34" s="1315">
        <f>'Other Liabilities 4.05'!E37</f>
        <v>0</v>
      </c>
      <c r="E34" s="1316">
        <f>'Other Liabilities 4.05'!D37</f>
        <v>0</v>
      </c>
      <c r="F34" s="21" t="str">
        <f>IF(ROUND(D34,0)&lt;&gt;ROUND(E34,0),"Balance Sheet does not match Report #4.05. Correction required.","")</f>
        <v/>
      </c>
    </row>
    <row r="35" spans="2:6" x14ac:dyDescent="0.35">
      <c r="B35" s="1313" t="s">
        <v>64</v>
      </c>
      <c r="C35" s="1324" t="s">
        <v>65</v>
      </c>
      <c r="D35" s="1315">
        <f>'Long Term Debt 4.08'!D19</f>
        <v>0</v>
      </c>
      <c r="E35" s="1316">
        <f>'Long Term Debt 4.08'!C19</f>
        <v>0</v>
      </c>
      <c r="F35" s="21" t="str">
        <f>IF(ROUND(D35,0)&lt;&gt;ROUND(E35,0),"Balance Sheet does not match Report #4.08. Correction required.","")</f>
        <v/>
      </c>
    </row>
    <row r="36" spans="2:6" x14ac:dyDescent="0.35">
      <c r="B36" s="1313"/>
      <c r="C36" s="1324"/>
      <c r="D36" s="1315"/>
      <c r="E36" s="1316"/>
    </row>
    <row r="37" spans="2:6" x14ac:dyDescent="0.35">
      <c r="B37" s="1313"/>
      <c r="C37" s="1324"/>
      <c r="D37" s="1311" t="s">
        <v>66</v>
      </c>
      <c r="E37" s="1312" t="s">
        <v>67</v>
      </c>
    </row>
    <row r="38" spans="2:6" x14ac:dyDescent="0.35">
      <c r="B38" s="2153" t="s">
        <v>68</v>
      </c>
      <c r="C38" s="2154"/>
      <c r="D38" s="1325">
        <v>0</v>
      </c>
      <c r="E38" s="1316">
        <f>'MLR H-1  '!O25</f>
        <v>0</v>
      </c>
    </row>
    <row r="39" spans="2:6" x14ac:dyDescent="0.35">
      <c r="B39" s="27"/>
      <c r="C39" s="1326"/>
      <c r="E39" s="28"/>
    </row>
    <row r="40" spans="2:6" x14ac:dyDescent="0.35">
      <c r="B40" s="27"/>
      <c r="C40" s="1326"/>
      <c r="E40" s="28"/>
    </row>
    <row r="41" spans="2:6" x14ac:dyDescent="0.35">
      <c r="B41" s="2148" t="s">
        <v>69</v>
      </c>
      <c r="C41" s="2149"/>
      <c r="E41" s="28"/>
    </row>
    <row r="42" spans="2:6" x14ac:dyDescent="0.35">
      <c r="B42" s="1327"/>
      <c r="C42" s="1328"/>
      <c r="D42" s="1311" t="s">
        <v>70</v>
      </c>
      <c r="E42" s="1329" t="s">
        <v>70</v>
      </c>
    </row>
    <row r="43" spans="2:6" x14ac:dyDescent="0.35">
      <c r="B43" s="1330" t="s">
        <v>71</v>
      </c>
      <c r="C43" s="664" t="s">
        <v>72</v>
      </c>
      <c r="D43" s="1315" cm="1">
        <f t="array" ref="D43">IF(OR(C21="mm/dd/yyyy",C22="mm/dd/yyyy"),0,_xlfn.XLOOKUP($C$21,_xlfn.CHOOSECOLS('FS-Income Statement 3.05'!$C$5:$Q$5,3,7,11,15),_xlfn.CHOOSECOLS('FS-Income Statement 3.05'!$C$138:$U$138,3,7,11,15)))</f>
        <v>0</v>
      </c>
      <c r="E43" s="1316">
        <f>'Total Profitability 4.10'!E140</f>
        <v>0</v>
      </c>
      <c r="F43" s="21" t="str">
        <f>IF(ROUND(D43,0)&lt;&gt;ROUND(E43,0),"Total Profitability Net Income does not match the Income Statement. Correction required.","")</f>
        <v/>
      </c>
    </row>
    <row r="44" spans="2:6" ht="15" thickBot="1" x14ac:dyDescent="0.4">
      <c r="B44" s="36"/>
      <c r="C44" s="37"/>
      <c r="D44" s="37"/>
      <c r="E44" s="38"/>
    </row>
  </sheetData>
  <mergeCells count="6">
    <mergeCell ref="A13:C13"/>
    <mergeCell ref="B19:E19"/>
    <mergeCell ref="B29:E29"/>
    <mergeCell ref="B41:C41"/>
    <mergeCell ref="B24:E24"/>
    <mergeCell ref="B38:C38"/>
  </mergeCells>
  <conditionalFormatting sqref="F27">
    <cfRule type="containsText" dxfId="163" priority="5" operator="containsText" text="Correction Required">
      <formula>NOT(ISERROR(SEARCH("Correction Required",F27)))</formula>
    </cfRule>
  </conditionalFormatting>
  <conditionalFormatting sqref="F33:F38">
    <cfRule type="containsText" dxfId="162" priority="2" operator="containsText" text="Correction Required">
      <formula>NOT(ISERROR(SEARCH("Correction Required",F33)))</formula>
    </cfRule>
  </conditionalFormatting>
  <conditionalFormatting sqref="F43">
    <cfRule type="containsText" dxfId="161" priority="1" operator="containsText" text="Correction Required">
      <formula>NOT(ISERROR(SEARCH("Correction Required",F43)))</formula>
    </cfRule>
  </conditionalFormatting>
  <dataValidations count="1">
    <dataValidation type="list" allowBlank="1" showInputMessage="1" showErrorMessage="1" sqref="C20" xr:uid="{4519D0E9-9D08-456A-9FE1-DE0925BB28A0}">
      <formula1>$K$1:$K$5</formula1>
    </dataValidation>
  </dataValidations>
  <pageMargins left="0.22" right="0.17" top="0.3" bottom="1" header="0.17" footer="0.5"/>
  <pageSetup scale="71" orientation="portrait" r:id="rId1"/>
  <headerFooter alignWithMargins="0">
    <oddFooter>&amp;L&amp;Z&amp;F&amp;A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0</xdr:col>
                    <xdr:colOff>76200</xdr:colOff>
                    <xdr:row>1</xdr:row>
                    <xdr:rowOff>165100</xdr:rowOff>
                  </from>
                  <to>
                    <xdr:col>0</xdr:col>
                    <xdr:colOff>76200</xdr:colOff>
                    <xdr:row>2</xdr:row>
                    <xdr:rowOff>12700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0</xdr:col>
                    <xdr:colOff>76200</xdr:colOff>
                    <xdr:row>1</xdr:row>
                    <xdr:rowOff>165100</xdr:rowOff>
                  </from>
                  <to>
                    <xdr:col>0</xdr:col>
                    <xdr:colOff>76200</xdr:colOff>
                    <xdr:row>2</xdr:row>
                    <xdr:rowOff>12700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0</xdr:col>
                    <xdr:colOff>76200</xdr:colOff>
                    <xdr:row>1</xdr:row>
                    <xdr:rowOff>165100</xdr:rowOff>
                  </from>
                  <to>
                    <xdr:col>0</xdr:col>
                    <xdr:colOff>76200</xdr:colOff>
                    <xdr:row>2</xdr:row>
                    <xdr:rowOff>12700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0</xdr:col>
                    <xdr:colOff>76200</xdr:colOff>
                    <xdr:row>1</xdr:row>
                    <xdr:rowOff>165100</xdr:rowOff>
                  </from>
                  <to>
                    <xdr:col>0</xdr:col>
                    <xdr:colOff>76200</xdr:colOff>
                    <xdr:row>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B4C8-9A15-412E-A1B6-5C60C66835E8}">
  <sheetPr syncVertical="1" syncRef="C6" transitionEvaluation="1">
    <pageSetUpPr fitToPage="1"/>
  </sheetPr>
  <dimension ref="A1:F71"/>
  <sheetViews>
    <sheetView showGridLines="0" zoomScaleNormal="100" zoomScaleSheetLayoutView="75" workbookViewId="0">
      <pane xSplit="2" ySplit="5" topLeftCell="C6" activePane="bottomRight" state="frozen"/>
      <selection pane="topRight" activeCell="E57" sqref="E57"/>
      <selection pane="bottomLeft" activeCell="E57" sqref="E57"/>
      <selection pane="bottomRight" activeCell="C42" sqref="C42"/>
    </sheetView>
  </sheetViews>
  <sheetFormatPr defaultColWidth="9.1796875" defaultRowHeight="14.5" x14ac:dyDescent="0.35"/>
  <cols>
    <col min="1" max="1" width="17.1796875" style="21" bestFit="1" customWidth="1"/>
    <col min="2" max="2" width="67" style="21" bestFit="1" customWidth="1"/>
    <col min="3" max="6" width="15.7265625" style="21" customWidth="1"/>
    <col min="7" max="16384" width="9.1796875" style="21"/>
  </cols>
  <sheetData>
    <row r="1" spans="1:6" ht="15" thickBot="1" x14ac:dyDescent="0.4">
      <c r="A1" s="1445" t="s">
        <v>73</v>
      </c>
      <c r="B1" s="1446"/>
      <c r="C1" s="1447"/>
      <c r="D1" s="1447"/>
      <c r="E1" s="1447"/>
      <c r="F1" s="1448"/>
    </row>
    <row r="2" spans="1:6" ht="15" thickBot="1" x14ac:dyDescent="0.4">
      <c r="A2" s="597"/>
      <c r="B2" s="1103"/>
    </row>
    <row r="3" spans="1:6" ht="15" thickBot="1" x14ac:dyDescent="0.4">
      <c r="A3" s="597"/>
      <c r="B3" s="862"/>
      <c r="C3" s="1652" t="s">
        <v>74</v>
      </c>
      <c r="D3" s="1653" t="str">
        <f>'Instruction &amp; Audit Report B '!C22</f>
        <v>mm/dd/yyyy</v>
      </c>
      <c r="E3" s="1654"/>
      <c r="F3" s="1655"/>
    </row>
    <row r="4" spans="1:6" x14ac:dyDescent="0.35">
      <c r="A4" s="1449" t="s">
        <v>45</v>
      </c>
      <c r="B4" s="1450" t="str">
        <f>'Instruction &amp; Audit Report B '!C20</f>
        <v>Select Contractor Name</v>
      </c>
      <c r="C4" s="1451" t="s">
        <v>75</v>
      </c>
      <c r="D4" s="1452" t="s">
        <v>76</v>
      </c>
      <c r="E4" s="1452" t="s">
        <v>77</v>
      </c>
      <c r="F4" s="1453" t="s">
        <v>78</v>
      </c>
    </row>
    <row r="5" spans="1:6" ht="15" thickBot="1" x14ac:dyDescent="0.4">
      <c r="A5" s="1454" t="s">
        <v>79</v>
      </c>
      <c r="B5" s="1455" t="str">
        <f>'Instruction &amp; Audit Report B '!C21</f>
        <v>mm/dd/yyyy</v>
      </c>
      <c r="C5" s="1456" t="str">
        <f>IFERROR(EOMONTH(D5,-3),"mm/dd/yyyy")</f>
        <v>mm/dd/yyyy</v>
      </c>
      <c r="D5" s="1456" t="str">
        <f>IFERROR(EOMONTH(E5,-3),"mm/dd/yyyy")</f>
        <v>mm/dd/yyyy</v>
      </c>
      <c r="E5" s="1456" t="str">
        <f>IFERROR(EOMONTH(F5,-3),"mm/dd/yyyy")</f>
        <v>mm/dd/yyyy</v>
      </c>
      <c r="F5" s="1457" t="str">
        <f>D3</f>
        <v>mm/dd/yyyy</v>
      </c>
    </row>
    <row r="6" spans="1:6" x14ac:dyDescent="0.35">
      <c r="A6" s="649"/>
      <c r="B6" s="650" t="s">
        <v>80</v>
      </c>
      <c r="C6" s="1265"/>
      <c r="D6" s="1266"/>
      <c r="E6" s="1267"/>
      <c r="F6" s="1268"/>
    </row>
    <row r="7" spans="1:6" x14ac:dyDescent="0.35">
      <c r="A7" s="654"/>
      <c r="B7" s="655" t="s">
        <v>81</v>
      </c>
      <c r="C7" s="1269"/>
      <c r="D7" s="1270"/>
      <c r="E7" s="1271"/>
      <c r="F7" s="1272"/>
    </row>
    <row r="8" spans="1:6" x14ac:dyDescent="0.35">
      <c r="A8" s="27"/>
      <c r="B8" s="659" t="s">
        <v>82</v>
      </c>
      <c r="C8" s="1269"/>
      <c r="D8" s="1270"/>
      <c r="E8" s="1271"/>
      <c r="F8" s="1272"/>
    </row>
    <row r="9" spans="1:6" x14ac:dyDescent="0.35">
      <c r="A9" s="660" t="s">
        <v>83</v>
      </c>
      <c r="B9" s="659" t="s">
        <v>84</v>
      </c>
      <c r="C9" s="1273">
        <v>0</v>
      </c>
      <c r="D9" s="1274">
        <v>0</v>
      </c>
      <c r="E9" s="1274">
        <v>0</v>
      </c>
      <c r="F9" s="1275">
        <v>0</v>
      </c>
    </row>
    <row r="10" spans="1:6" x14ac:dyDescent="0.35">
      <c r="A10" s="660" t="s">
        <v>85</v>
      </c>
      <c r="B10" s="659" t="s">
        <v>86</v>
      </c>
      <c r="C10" s="1273">
        <v>0</v>
      </c>
      <c r="D10" s="1274">
        <v>0</v>
      </c>
      <c r="E10" s="1274">
        <v>0</v>
      </c>
      <c r="F10" s="1275">
        <v>0</v>
      </c>
    </row>
    <row r="11" spans="1:6" ht="12.75" customHeight="1" x14ac:dyDescent="0.35">
      <c r="A11" s="662" t="s">
        <v>87</v>
      </c>
      <c r="B11" s="663" t="s">
        <v>88</v>
      </c>
      <c r="C11" s="1273">
        <v>0</v>
      </c>
      <c r="D11" s="1274">
        <v>0</v>
      </c>
      <c r="E11" s="1274">
        <v>0</v>
      </c>
      <c r="F11" s="1275">
        <v>0</v>
      </c>
    </row>
    <row r="12" spans="1:6" x14ac:dyDescent="0.35">
      <c r="A12" s="660" t="s">
        <v>89</v>
      </c>
      <c r="B12" s="664" t="s">
        <v>90</v>
      </c>
      <c r="C12" s="1273">
        <v>0</v>
      </c>
      <c r="D12" s="1274">
        <v>0</v>
      </c>
      <c r="E12" s="1274">
        <v>0</v>
      </c>
      <c r="F12" s="1275">
        <v>0</v>
      </c>
    </row>
    <row r="13" spans="1:6" x14ac:dyDescent="0.35">
      <c r="A13" s="660" t="s">
        <v>91</v>
      </c>
      <c r="B13" s="664" t="s">
        <v>92</v>
      </c>
      <c r="C13" s="1273">
        <v>0</v>
      </c>
      <c r="D13" s="1274">
        <v>0</v>
      </c>
      <c r="E13" s="1274">
        <v>0</v>
      </c>
      <c r="F13" s="1275">
        <v>0</v>
      </c>
    </row>
    <row r="14" spans="1:6" x14ac:dyDescent="0.35">
      <c r="A14" s="660" t="s">
        <v>93</v>
      </c>
      <c r="B14" s="659" t="s">
        <v>94</v>
      </c>
      <c r="C14" s="1273">
        <v>0</v>
      </c>
      <c r="D14" s="1274">
        <v>0</v>
      </c>
      <c r="E14" s="1274">
        <v>0</v>
      </c>
      <c r="F14" s="1275">
        <v>0</v>
      </c>
    </row>
    <row r="15" spans="1:6" x14ac:dyDescent="0.35">
      <c r="A15" s="660" t="s">
        <v>95</v>
      </c>
      <c r="B15" s="659" t="s">
        <v>96</v>
      </c>
      <c r="C15" s="1273">
        <v>0</v>
      </c>
      <c r="D15" s="1274">
        <v>0</v>
      </c>
      <c r="E15" s="1274">
        <v>0</v>
      </c>
      <c r="F15" s="1275">
        <v>0</v>
      </c>
    </row>
    <row r="16" spans="1:6" x14ac:dyDescent="0.35">
      <c r="A16" s="660" t="s">
        <v>97</v>
      </c>
      <c r="B16" s="659" t="s">
        <v>98</v>
      </c>
      <c r="C16" s="1273">
        <v>0</v>
      </c>
      <c r="D16" s="1274">
        <v>0</v>
      </c>
      <c r="E16" s="1274">
        <v>0</v>
      </c>
      <c r="F16" s="1275">
        <v>0</v>
      </c>
    </row>
    <row r="17" spans="1:6" ht="15" thickBot="1" x14ac:dyDescent="0.4">
      <c r="A17" s="660" t="s">
        <v>99</v>
      </c>
      <c r="B17" s="659" t="s">
        <v>100</v>
      </c>
      <c r="C17" s="1273">
        <v>0</v>
      </c>
      <c r="D17" s="1274">
        <v>0</v>
      </c>
      <c r="E17" s="1274">
        <v>0</v>
      </c>
      <c r="F17" s="1275">
        <v>0</v>
      </c>
    </row>
    <row r="18" spans="1:6" ht="15" thickBot="1" x14ac:dyDescent="0.4">
      <c r="A18" s="665">
        <v>10199</v>
      </c>
      <c r="B18" s="666" t="s">
        <v>101</v>
      </c>
      <c r="C18" s="1276">
        <f>SUM(C9:C17)</f>
        <v>0</v>
      </c>
      <c r="D18" s="1277">
        <f>SUM(D9:D17)</f>
        <v>0</v>
      </c>
      <c r="E18" s="1278">
        <f>SUM(E9:E17)</f>
        <v>0</v>
      </c>
      <c r="F18" s="1279">
        <f>SUM(F9:F17)</f>
        <v>0</v>
      </c>
    </row>
    <row r="19" spans="1:6" x14ac:dyDescent="0.35">
      <c r="A19" s="27"/>
      <c r="B19" s="659" t="s">
        <v>60</v>
      </c>
      <c r="C19" s="1269"/>
      <c r="D19" s="1270"/>
      <c r="E19" s="1271"/>
      <c r="F19" s="1272"/>
    </row>
    <row r="20" spans="1:6" x14ac:dyDescent="0.35">
      <c r="A20" s="660" t="s">
        <v>102</v>
      </c>
      <c r="B20" s="659" t="s">
        <v>103</v>
      </c>
      <c r="C20" s="1273">
        <v>0</v>
      </c>
      <c r="D20" s="1274">
        <v>0</v>
      </c>
      <c r="E20" s="1274">
        <v>0</v>
      </c>
      <c r="F20" s="1275">
        <v>0</v>
      </c>
    </row>
    <row r="21" spans="1:6" x14ac:dyDescent="0.35">
      <c r="A21" s="660" t="s">
        <v>104</v>
      </c>
      <c r="B21" s="659" t="s">
        <v>105</v>
      </c>
      <c r="C21" s="1273">
        <v>0</v>
      </c>
      <c r="D21" s="1274">
        <v>0</v>
      </c>
      <c r="E21" s="1274">
        <v>0</v>
      </c>
      <c r="F21" s="1275">
        <v>0</v>
      </c>
    </row>
    <row r="22" spans="1:6" x14ac:dyDescent="0.35">
      <c r="A22" s="660" t="s">
        <v>106</v>
      </c>
      <c r="B22" s="659" t="s">
        <v>107</v>
      </c>
      <c r="C22" s="1273">
        <v>0</v>
      </c>
      <c r="D22" s="1274">
        <v>0</v>
      </c>
      <c r="E22" s="1274">
        <v>0</v>
      </c>
      <c r="F22" s="1275">
        <v>0</v>
      </c>
    </row>
    <row r="23" spans="1:6" x14ac:dyDescent="0.35">
      <c r="A23" s="660" t="s">
        <v>108</v>
      </c>
      <c r="B23" s="659" t="s">
        <v>109</v>
      </c>
      <c r="C23" s="1273">
        <v>0</v>
      </c>
      <c r="D23" s="1274">
        <v>0</v>
      </c>
      <c r="E23" s="1274">
        <v>0</v>
      </c>
      <c r="F23" s="1275">
        <v>0</v>
      </c>
    </row>
    <row r="24" spans="1:6" ht="15" thickBot="1" x14ac:dyDescent="0.4">
      <c r="A24" s="660" t="s">
        <v>110</v>
      </c>
      <c r="B24" s="659" t="s">
        <v>111</v>
      </c>
      <c r="C24" s="1273">
        <v>0</v>
      </c>
      <c r="D24" s="1274">
        <v>0</v>
      </c>
      <c r="E24" s="1274">
        <v>0</v>
      </c>
      <c r="F24" s="1275">
        <v>0</v>
      </c>
    </row>
    <row r="25" spans="1:6" ht="15" thickBot="1" x14ac:dyDescent="0.4">
      <c r="A25" s="669">
        <v>10299</v>
      </c>
      <c r="B25" s="666" t="s">
        <v>112</v>
      </c>
      <c r="C25" s="1276">
        <f>SUM(C20:C24)</f>
        <v>0</v>
      </c>
      <c r="D25" s="1277">
        <f>SUM(D20:D24)</f>
        <v>0</v>
      </c>
      <c r="E25" s="1277">
        <f>SUM(E20:E24)</f>
        <v>0</v>
      </c>
      <c r="F25" s="1280">
        <f>SUM(F20:F24)</f>
        <v>0</v>
      </c>
    </row>
    <row r="26" spans="1:6" x14ac:dyDescent="0.35">
      <c r="A26" s="27"/>
      <c r="B26" s="659" t="s">
        <v>113</v>
      </c>
      <c r="C26" s="1269"/>
      <c r="D26" s="1270"/>
      <c r="E26" s="1271"/>
      <c r="F26" s="1272"/>
    </row>
    <row r="27" spans="1:6" x14ac:dyDescent="0.35">
      <c r="A27" s="660" t="s">
        <v>114</v>
      </c>
      <c r="B27" s="659" t="s">
        <v>115</v>
      </c>
      <c r="C27" s="1273">
        <v>0</v>
      </c>
      <c r="D27" s="1274">
        <v>0</v>
      </c>
      <c r="E27" s="1274">
        <v>0</v>
      </c>
      <c r="F27" s="1275">
        <v>0</v>
      </c>
    </row>
    <row r="28" spans="1:6" x14ac:dyDescent="0.35">
      <c r="A28" s="660" t="s">
        <v>116</v>
      </c>
      <c r="B28" s="659" t="s">
        <v>117</v>
      </c>
      <c r="C28" s="1273">
        <v>0</v>
      </c>
      <c r="D28" s="1274">
        <v>0</v>
      </c>
      <c r="E28" s="1274">
        <v>0</v>
      </c>
      <c r="F28" s="1275">
        <v>0</v>
      </c>
    </row>
    <row r="29" spans="1:6" x14ac:dyDescent="0.35">
      <c r="A29" s="660" t="s">
        <v>118</v>
      </c>
      <c r="B29" s="659" t="s">
        <v>119</v>
      </c>
      <c r="C29" s="1273">
        <v>0</v>
      </c>
      <c r="D29" s="1274">
        <v>0</v>
      </c>
      <c r="E29" s="1274">
        <v>0</v>
      </c>
      <c r="F29" s="1275">
        <v>0</v>
      </c>
    </row>
    <row r="30" spans="1:6" x14ac:dyDescent="0.35">
      <c r="A30" s="660" t="s">
        <v>120</v>
      </c>
      <c r="B30" s="659" t="s">
        <v>121</v>
      </c>
      <c r="C30" s="1273">
        <v>0</v>
      </c>
      <c r="D30" s="1274">
        <v>0</v>
      </c>
      <c r="E30" s="1274">
        <v>0</v>
      </c>
      <c r="F30" s="1275">
        <v>0</v>
      </c>
    </row>
    <row r="31" spans="1:6" x14ac:dyDescent="0.35">
      <c r="A31" s="660" t="s">
        <v>122</v>
      </c>
      <c r="B31" s="659" t="s">
        <v>123</v>
      </c>
      <c r="C31" s="1273">
        <v>0</v>
      </c>
      <c r="D31" s="1274">
        <v>0</v>
      </c>
      <c r="E31" s="1274">
        <v>0</v>
      </c>
      <c r="F31" s="1275">
        <v>0</v>
      </c>
    </row>
    <row r="32" spans="1:6" x14ac:dyDescent="0.35">
      <c r="A32" s="670" t="s">
        <v>124</v>
      </c>
      <c r="B32" s="659" t="s">
        <v>125</v>
      </c>
      <c r="C32" s="1281">
        <f>SUM(C27:C31)</f>
        <v>0</v>
      </c>
      <c r="D32" s="1282">
        <f>SUM(D27:D31)</f>
        <v>0</v>
      </c>
      <c r="E32" s="1282">
        <f>SUM(E27:E31)</f>
        <v>0</v>
      </c>
      <c r="F32" s="1283">
        <f>SUM(F27:F31)</f>
        <v>0</v>
      </c>
    </row>
    <row r="33" spans="1:6" ht="12.65" customHeight="1" thickBot="1" x14ac:dyDescent="0.4">
      <c r="A33" s="660" t="s">
        <v>126</v>
      </c>
      <c r="B33" s="673" t="s">
        <v>127</v>
      </c>
      <c r="C33" s="1273">
        <v>0</v>
      </c>
      <c r="D33" s="1274">
        <v>0</v>
      </c>
      <c r="E33" s="1274">
        <v>0</v>
      </c>
      <c r="F33" s="1275">
        <v>0</v>
      </c>
    </row>
    <row r="34" spans="1:6" ht="15" thickBot="1" x14ac:dyDescent="0.4">
      <c r="A34" s="669">
        <v>10399</v>
      </c>
      <c r="B34" s="666" t="s">
        <v>128</v>
      </c>
      <c r="C34" s="1276">
        <f>C32+C33</f>
        <v>0</v>
      </c>
      <c r="D34" s="1277">
        <f>D32+D33</f>
        <v>0</v>
      </c>
      <c r="E34" s="1277">
        <f>E32+E33</f>
        <v>0</v>
      </c>
      <c r="F34" s="1280">
        <f>F32+F33</f>
        <v>0</v>
      </c>
    </row>
    <row r="35" spans="1:6" ht="15" thickBot="1" x14ac:dyDescent="0.4">
      <c r="A35" s="27"/>
      <c r="B35" s="11"/>
      <c r="C35" s="1269"/>
      <c r="D35" s="1270"/>
      <c r="E35" s="1270"/>
      <c r="F35" s="1284"/>
    </row>
    <row r="36" spans="1:6" ht="15" thickBot="1" x14ac:dyDescent="0.4">
      <c r="A36" s="669">
        <v>19999</v>
      </c>
      <c r="B36" s="666" t="s">
        <v>129</v>
      </c>
      <c r="C36" s="1276">
        <f>C18+C25+C34</f>
        <v>0</v>
      </c>
      <c r="D36" s="1277">
        <f>D18+D25+D34</f>
        <v>0</v>
      </c>
      <c r="E36" s="1278">
        <f>E18+E25+E34</f>
        <v>0</v>
      </c>
      <c r="F36" s="1279">
        <f>F18+F25+F34</f>
        <v>0</v>
      </c>
    </row>
    <row r="37" spans="1:6" x14ac:dyDescent="0.35">
      <c r="A37" s="27"/>
      <c r="B37" s="674" t="s">
        <v>130</v>
      </c>
      <c r="C37" s="1269"/>
      <c r="D37" s="1270"/>
      <c r="E37" s="1271"/>
      <c r="F37" s="1272"/>
    </row>
    <row r="38" spans="1:6" x14ac:dyDescent="0.35">
      <c r="A38" s="27"/>
      <c r="B38" s="659" t="s">
        <v>131</v>
      </c>
      <c r="C38" s="1269"/>
      <c r="D38" s="1270"/>
      <c r="E38" s="1271"/>
      <c r="F38" s="1272"/>
    </row>
    <row r="39" spans="1:6" x14ac:dyDescent="0.35">
      <c r="A39" s="660" t="s">
        <v>132</v>
      </c>
      <c r="B39" s="659" t="s">
        <v>133</v>
      </c>
      <c r="C39" s="1273">
        <v>0</v>
      </c>
      <c r="D39" s="1274">
        <v>0</v>
      </c>
      <c r="E39" s="1274">
        <v>0</v>
      </c>
      <c r="F39" s="1275">
        <v>0</v>
      </c>
    </row>
    <row r="40" spans="1:6" x14ac:dyDescent="0.35">
      <c r="A40" s="660" t="s">
        <v>134</v>
      </c>
      <c r="B40" s="659" t="s">
        <v>135</v>
      </c>
      <c r="C40" s="1273">
        <v>0</v>
      </c>
      <c r="D40" s="1274">
        <v>0</v>
      </c>
      <c r="E40" s="1274">
        <v>0</v>
      </c>
      <c r="F40" s="1275">
        <v>0</v>
      </c>
    </row>
    <row r="41" spans="1:6" x14ac:dyDescent="0.35">
      <c r="A41" s="660" t="s">
        <v>136</v>
      </c>
      <c r="B41" s="659" t="s">
        <v>137</v>
      </c>
      <c r="C41" s="1273">
        <v>0</v>
      </c>
      <c r="D41" s="1274">
        <v>0</v>
      </c>
      <c r="E41" s="1274">
        <v>0</v>
      </c>
      <c r="F41" s="1275">
        <v>0</v>
      </c>
    </row>
    <row r="42" spans="1:6" x14ac:dyDescent="0.35">
      <c r="A42" s="660" t="s">
        <v>138</v>
      </c>
      <c r="B42" s="659" t="s">
        <v>139</v>
      </c>
      <c r="C42" s="1273">
        <v>0</v>
      </c>
      <c r="D42" s="1274">
        <v>0</v>
      </c>
      <c r="E42" s="1274">
        <v>0</v>
      </c>
      <c r="F42" s="1275">
        <v>0</v>
      </c>
    </row>
    <row r="43" spans="1:6" x14ac:dyDescent="0.35">
      <c r="A43" s="660" t="s">
        <v>140</v>
      </c>
      <c r="B43" s="659" t="s">
        <v>141</v>
      </c>
      <c r="C43" s="1285">
        <f>C42</f>
        <v>0</v>
      </c>
      <c r="D43" s="1286">
        <f>D42</f>
        <v>0</v>
      </c>
      <c r="E43" s="1286">
        <f>E42</f>
        <v>0</v>
      </c>
      <c r="F43" s="1287">
        <f>F42</f>
        <v>0</v>
      </c>
    </row>
    <row r="44" spans="1:6" x14ac:dyDescent="0.35">
      <c r="A44" s="660" t="s">
        <v>142</v>
      </c>
      <c r="B44" s="659" t="s">
        <v>143</v>
      </c>
      <c r="C44" s="1273">
        <v>0</v>
      </c>
      <c r="D44" s="1274">
        <v>0</v>
      </c>
      <c r="E44" s="1274">
        <v>0</v>
      </c>
      <c r="F44" s="1275">
        <v>0</v>
      </c>
    </row>
    <row r="45" spans="1:6" x14ac:dyDescent="0.35">
      <c r="A45" s="660" t="s">
        <v>144</v>
      </c>
      <c r="B45" s="659" t="s">
        <v>145</v>
      </c>
      <c r="C45" s="1273">
        <v>0</v>
      </c>
      <c r="D45" s="1274">
        <v>0</v>
      </c>
      <c r="E45" s="1274">
        <v>0</v>
      </c>
      <c r="F45" s="1275">
        <v>0</v>
      </c>
    </row>
    <row r="46" spans="1:6" x14ac:dyDescent="0.35">
      <c r="A46" s="660" t="s">
        <v>146</v>
      </c>
      <c r="B46" s="659" t="s">
        <v>147</v>
      </c>
      <c r="C46" s="1273">
        <v>0</v>
      </c>
      <c r="D46" s="1274">
        <v>0</v>
      </c>
      <c r="E46" s="1274">
        <v>0</v>
      </c>
      <c r="F46" s="1275">
        <v>0</v>
      </c>
    </row>
    <row r="47" spans="1:6" x14ac:dyDescent="0.35">
      <c r="A47" s="660" t="s">
        <v>148</v>
      </c>
      <c r="B47" s="664" t="s">
        <v>149</v>
      </c>
      <c r="C47" s="1273">
        <v>0</v>
      </c>
      <c r="D47" s="1274">
        <v>0</v>
      </c>
      <c r="E47" s="1274">
        <v>0</v>
      </c>
      <c r="F47" s="1275">
        <v>0</v>
      </c>
    </row>
    <row r="48" spans="1:6" ht="15" thickBot="1" x14ac:dyDescent="0.4">
      <c r="A48" s="660" t="s">
        <v>150</v>
      </c>
      <c r="B48" s="659" t="s">
        <v>151</v>
      </c>
      <c r="C48" s="1273">
        <v>0</v>
      </c>
      <c r="D48" s="1274">
        <v>0</v>
      </c>
      <c r="E48" s="1274">
        <v>0</v>
      </c>
      <c r="F48" s="1275">
        <v>0</v>
      </c>
    </row>
    <row r="49" spans="1:6" ht="15" thickBot="1" x14ac:dyDescent="0.4">
      <c r="A49" s="665">
        <v>20199</v>
      </c>
      <c r="B49" s="666" t="s">
        <v>152</v>
      </c>
      <c r="C49" s="1276">
        <f>SUM(C39:C41)+SUM(C43:C48)</f>
        <v>0</v>
      </c>
      <c r="D49" s="1277">
        <f>SUM(D39:D41)+SUM(D43:D48)</f>
        <v>0</v>
      </c>
      <c r="E49" s="1277">
        <f>SUM(E39:E41)+SUM(E43:E48)</f>
        <v>0</v>
      </c>
      <c r="F49" s="1280">
        <f>SUM(F39:F41)+SUM(F43:F48)</f>
        <v>0</v>
      </c>
    </row>
    <row r="50" spans="1:6" x14ac:dyDescent="0.35">
      <c r="A50" s="27"/>
      <c r="B50" s="659" t="s">
        <v>62</v>
      </c>
      <c r="C50" s="1269"/>
      <c r="D50" s="1270"/>
      <c r="E50" s="1271"/>
      <c r="F50" s="1272"/>
    </row>
    <row r="51" spans="1:6" x14ac:dyDescent="0.35">
      <c r="A51" s="660" t="s">
        <v>153</v>
      </c>
      <c r="B51" s="664" t="s">
        <v>154</v>
      </c>
      <c r="C51" s="1273">
        <v>0</v>
      </c>
      <c r="D51" s="1274">
        <v>0</v>
      </c>
      <c r="E51" s="1274">
        <v>0</v>
      </c>
      <c r="F51" s="1275">
        <v>0</v>
      </c>
    </row>
    <row r="52" spans="1:6" x14ac:dyDescent="0.35">
      <c r="A52" s="660" t="s">
        <v>155</v>
      </c>
      <c r="B52" s="664" t="s">
        <v>156</v>
      </c>
      <c r="C52" s="1273">
        <v>0</v>
      </c>
      <c r="D52" s="1274">
        <v>0</v>
      </c>
      <c r="E52" s="1274">
        <v>0</v>
      </c>
      <c r="F52" s="1275">
        <v>0</v>
      </c>
    </row>
    <row r="53" spans="1:6" ht="15" thickBot="1" x14ac:dyDescent="0.4">
      <c r="A53" s="660" t="s">
        <v>157</v>
      </c>
      <c r="B53" s="659" t="s">
        <v>158</v>
      </c>
      <c r="C53" s="1273">
        <v>0</v>
      </c>
      <c r="D53" s="1274">
        <v>0</v>
      </c>
      <c r="E53" s="1274">
        <v>0</v>
      </c>
      <c r="F53" s="1275">
        <v>0</v>
      </c>
    </row>
    <row r="54" spans="1:6" ht="15" thickBot="1" x14ac:dyDescent="0.4">
      <c r="A54" s="665">
        <v>20299</v>
      </c>
      <c r="B54" s="666" t="s">
        <v>159</v>
      </c>
      <c r="C54" s="1276">
        <f>SUM(C51:C53)</f>
        <v>0</v>
      </c>
      <c r="D54" s="1277">
        <f>SUM(D51:D53)</f>
        <v>0</v>
      </c>
      <c r="E54" s="1278">
        <f>SUM(E51:E53)</f>
        <v>0</v>
      </c>
      <c r="F54" s="1279">
        <f>SUM(F51:F53)</f>
        <v>0</v>
      </c>
    </row>
    <row r="55" spans="1:6" ht="15" thickBot="1" x14ac:dyDescent="0.4">
      <c r="A55" s="27"/>
      <c r="C55" s="1269"/>
      <c r="D55" s="1270"/>
      <c r="E55" s="1271"/>
      <c r="F55" s="1272"/>
    </row>
    <row r="56" spans="1:6" ht="15" thickBot="1" x14ac:dyDescent="0.4">
      <c r="A56" s="669">
        <v>29999</v>
      </c>
      <c r="B56" s="666" t="s">
        <v>160</v>
      </c>
      <c r="C56" s="1276">
        <f>C49+C54</f>
        <v>0</v>
      </c>
      <c r="D56" s="1277">
        <f>D49+D54</f>
        <v>0</v>
      </c>
      <c r="E56" s="1278">
        <f>E49+E54</f>
        <v>0</v>
      </c>
      <c r="F56" s="1279">
        <f>F49+F54</f>
        <v>0</v>
      </c>
    </row>
    <row r="57" spans="1:6" x14ac:dyDescent="0.35">
      <c r="A57" s="27"/>
      <c r="B57" s="674" t="s">
        <v>161</v>
      </c>
      <c r="C57" s="1269"/>
      <c r="D57" s="1270"/>
      <c r="E57" s="1271"/>
      <c r="F57" s="1272"/>
    </row>
    <row r="58" spans="1:6" x14ac:dyDescent="0.35">
      <c r="A58" s="660" t="s">
        <v>162</v>
      </c>
      <c r="B58" s="659" t="s">
        <v>163</v>
      </c>
      <c r="C58" s="1273">
        <v>0</v>
      </c>
      <c r="D58" s="1274">
        <v>0</v>
      </c>
      <c r="E58" s="1274">
        <v>0</v>
      </c>
      <c r="F58" s="1275">
        <v>0</v>
      </c>
    </row>
    <row r="59" spans="1:6" x14ac:dyDescent="0.35">
      <c r="A59" s="660" t="s">
        <v>164</v>
      </c>
      <c r="B59" s="659" t="s">
        <v>165</v>
      </c>
      <c r="C59" s="1273">
        <v>0</v>
      </c>
      <c r="D59" s="1274">
        <v>0</v>
      </c>
      <c r="E59" s="1274">
        <v>0</v>
      </c>
      <c r="F59" s="1275">
        <v>0</v>
      </c>
    </row>
    <row r="60" spans="1:6" x14ac:dyDescent="0.35">
      <c r="A60" s="660" t="s">
        <v>166</v>
      </c>
      <c r="B60" s="659" t="s">
        <v>167</v>
      </c>
      <c r="C60" s="1273">
        <v>0</v>
      </c>
      <c r="D60" s="1274">
        <v>0</v>
      </c>
      <c r="E60" s="1274">
        <v>0</v>
      </c>
      <c r="F60" s="1275">
        <v>0</v>
      </c>
    </row>
    <row r="61" spans="1:6" x14ac:dyDescent="0.35">
      <c r="A61" s="660" t="s">
        <v>168</v>
      </c>
      <c r="B61" s="659" t="s">
        <v>169</v>
      </c>
      <c r="C61" s="1273">
        <v>0</v>
      </c>
      <c r="D61" s="1274">
        <v>0</v>
      </c>
      <c r="E61" s="1274">
        <v>0</v>
      </c>
      <c r="F61" s="1275">
        <v>0</v>
      </c>
    </row>
    <row r="62" spans="1:6" x14ac:dyDescent="0.35">
      <c r="A62" s="660" t="s">
        <v>170</v>
      </c>
      <c r="B62" s="659" t="s">
        <v>171</v>
      </c>
      <c r="C62" s="1273">
        <v>0</v>
      </c>
      <c r="D62" s="1274">
        <v>0</v>
      </c>
      <c r="E62" s="1274">
        <v>0</v>
      </c>
      <c r="F62" s="1275">
        <v>0</v>
      </c>
    </row>
    <row r="63" spans="1:6" x14ac:dyDescent="0.35">
      <c r="A63" s="660" t="s">
        <v>172</v>
      </c>
      <c r="B63" s="659" t="s">
        <v>173</v>
      </c>
      <c r="C63" s="1273">
        <v>0</v>
      </c>
      <c r="D63" s="1274">
        <v>0</v>
      </c>
      <c r="E63" s="1274">
        <v>0</v>
      </c>
      <c r="F63" s="1275">
        <v>0</v>
      </c>
    </row>
    <row r="64" spans="1:6" x14ac:dyDescent="0.35">
      <c r="A64" s="670" t="s">
        <v>174</v>
      </c>
      <c r="B64" s="659" t="s">
        <v>175</v>
      </c>
      <c r="C64" s="1273">
        <v>0</v>
      </c>
      <c r="D64" s="1274">
        <v>0</v>
      </c>
      <c r="E64" s="1274">
        <v>0</v>
      </c>
      <c r="F64" s="1275">
        <v>0</v>
      </c>
    </row>
    <row r="65" spans="1:6" x14ac:dyDescent="0.35">
      <c r="A65" s="670" t="s">
        <v>176</v>
      </c>
      <c r="B65" s="659" t="s">
        <v>177</v>
      </c>
      <c r="C65" s="1273">
        <v>0</v>
      </c>
      <c r="D65" s="1274">
        <v>0</v>
      </c>
      <c r="E65" s="1274">
        <v>0</v>
      </c>
      <c r="F65" s="1275">
        <v>0</v>
      </c>
    </row>
    <row r="66" spans="1:6" x14ac:dyDescent="0.35">
      <c r="A66" s="670" t="s">
        <v>178</v>
      </c>
      <c r="B66" s="659" t="s">
        <v>179</v>
      </c>
      <c r="C66" s="1288">
        <v>0</v>
      </c>
      <c r="D66" s="1289">
        <v>0</v>
      </c>
      <c r="E66" s="1289">
        <v>0</v>
      </c>
      <c r="F66" s="1290">
        <v>0</v>
      </c>
    </row>
    <row r="67" spans="1:6" x14ac:dyDescent="0.35">
      <c r="A67" s="660" t="s">
        <v>180</v>
      </c>
      <c r="B67" s="659" t="s">
        <v>181</v>
      </c>
      <c r="C67" s="1285">
        <f>C64+C65+C66</f>
        <v>0</v>
      </c>
      <c r="D67" s="1286">
        <f t="shared" ref="D67:F67" si="0">D64+D65+D66</f>
        <v>0</v>
      </c>
      <c r="E67" s="1286">
        <f t="shared" si="0"/>
        <v>0</v>
      </c>
      <c r="F67" s="1287">
        <f t="shared" si="0"/>
        <v>0</v>
      </c>
    </row>
    <row r="68" spans="1:6" x14ac:dyDescent="0.35">
      <c r="A68" s="679" t="s">
        <v>182</v>
      </c>
      <c r="B68" s="680" t="s">
        <v>183</v>
      </c>
      <c r="C68" s="1291">
        <v>0</v>
      </c>
      <c r="D68" s="1292">
        <v>0</v>
      </c>
      <c r="E68" s="1292">
        <v>0</v>
      </c>
      <c r="F68" s="1293">
        <v>0</v>
      </c>
    </row>
    <row r="69" spans="1:6" ht="15" thickBot="1" x14ac:dyDescent="0.4">
      <c r="A69" s="679"/>
      <c r="B69" s="680"/>
      <c r="C69" s="1294"/>
      <c r="D69" s="1271"/>
      <c r="E69" s="1271"/>
      <c r="F69" s="1272"/>
    </row>
    <row r="70" spans="1:6" x14ac:dyDescent="0.35">
      <c r="A70" s="682">
        <v>39991</v>
      </c>
      <c r="B70" s="683" t="s">
        <v>184</v>
      </c>
      <c r="C70" s="1295">
        <f>SUM(C58:C63)+C67+C68</f>
        <v>0</v>
      </c>
      <c r="D70" s="1296">
        <f>SUM(D58:D63)+D67+D68</f>
        <v>0</v>
      </c>
      <c r="E70" s="1296">
        <f t="shared" ref="E70:F70" si="1">SUM(E58:E63)+E67+E68</f>
        <v>0</v>
      </c>
      <c r="F70" s="1297">
        <f t="shared" si="1"/>
        <v>0</v>
      </c>
    </row>
    <row r="71" spans="1:6" ht="15" thickBot="1" x14ac:dyDescent="0.4">
      <c r="A71" s="686">
        <v>39992</v>
      </c>
      <c r="B71" s="687" t="s">
        <v>185</v>
      </c>
      <c r="C71" s="1298">
        <f>C56+C70</f>
        <v>0</v>
      </c>
      <c r="D71" s="1299">
        <f>D56+D70</f>
        <v>0</v>
      </c>
      <c r="E71" s="1300">
        <f>E56+E70</f>
        <v>0</v>
      </c>
      <c r="F71" s="1301">
        <f>F56+F70</f>
        <v>0</v>
      </c>
    </row>
  </sheetData>
  <printOptions gridLinesSet="0"/>
  <pageMargins left="0.22" right="0.17" top="0.3" bottom="1" header="0.17" footer="0.5"/>
  <pageSetup scale="59" orientation="portrait" r:id="rId1"/>
  <headerFooter alignWithMargins="0">
    <oddFooter>&amp;L&amp;Z&amp;F&amp;A</oddFooter>
  </headerFooter>
  <ignoredErrors>
    <ignoredError sqref="D3 C5:F5 B4:B5" unlockedFormula="1"/>
    <ignoredError sqref="C49:F49 C70:F7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BB499-9155-420B-8ECA-5488800D25C6}">
  <sheetPr syncVertical="1" syncRef="C7" transitionEvaluation="1">
    <pageSetUpPr fitToPage="1"/>
  </sheetPr>
  <dimension ref="A1:U138"/>
  <sheetViews>
    <sheetView showGridLines="0" zoomScaleNormal="100" zoomScaleSheetLayoutView="75" workbookViewId="0">
      <pane xSplit="2" ySplit="6" topLeftCell="C7" activePane="bottomRight" state="frozen"/>
      <selection pane="topRight" activeCell="E57" sqref="E57"/>
      <selection pane="bottomLeft" activeCell="E57" sqref="E57"/>
      <selection pane="bottomRight" activeCell="G1" sqref="G1"/>
    </sheetView>
  </sheetViews>
  <sheetFormatPr defaultColWidth="12.54296875" defaultRowHeight="14.5" x14ac:dyDescent="0.35"/>
  <cols>
    <col min="1" max="1" width="19.54296875" style="778" customWidth="1"/>
    <col min="2" max="2" width="61" style="778" bestFit="1" customWidth="1"/>
    <col min="3" max="4" width="15.7265625" style="780" customWidth="1"/>
    <col min="5" max="5" width="15.7265625" style="846" customWidth="1"/>
    <col min="6" max="6" width="1.453125" style="1216" customWidth="1"/>
    <col min="7" max="8" width="15.7265625" style="1216" customWidth="1"/>
    <col min="9" max="9" width="15.7265625" style="846" customWidth="1"/>
    <col min="10" max="10" width="1.453125" style="1216" customWidth="1"/>
    <col min="11" max="12" width="15.7265625" style="1216" customWidth="1"/>
    <col min="13" max="13" width="15.7265625" style="846" customWidth="1"/>
    <col min="14" max="14" width="1.453125" style="1216" customWidth="1"/>
    <col min="15" max="16" width="15.7265625" style="1216" customWidth="1"/>
    <col min="17" max="17" width="15.7265625" style="846" customWidth="1"/>
    <col min="18" max="18" width="1.453125" style="1216" customWidth="1"/>
    <col min="19" max="21" width="15.7265625" style="1217" customWidth="1"/>
    <col min="22" max="16384" width="12.54296875" style="778"/>
  </cols>
  <sheetData>
    <row r="1" spans="1:21" ht="15" thickBot="1" x14ac:dyDescent="0.4">
      <c r="A1" s="1458" t="s">
        <v>186</v>
      </c>
      <c r="B1" s="1459"/>
    </row>
    <row r="2" spans="1:21" s="1045" customFormat="1" ht="15" thickBot="1" x14ac:dyDescent="0.4">
      <c r="A2" s="597" t="s">
        <v>45</v>
      </c>
      <c r="B2" s="1103" t="str">
        <f>'Instruction &amp; Audit Report B '!C20</f>
        <v>Select Contractor Name</v>
      </c>
    </row>
    <row r="3" spans="1:21" s="400" customFormat="1" ht="14.15" customHeight="1" thickBot="1" x14ac:dyDescent="0.4">
      <c r="A3" s="597" t="s">
        <v>79</v>
      </c>
      <c r="B3" s="862" t="str">
        <f>'Instruction &amp; Audit Report B '!C21</f>
        <v>mm/dd/yyyy</v>
      </c>
      <c r="C3" s="1656" t="s">
        <v>74</v>
      </c>
      <c r="D3" s="1657" t="str">
        <f>'Instruction &amp; Audit Report B '!C22</f>
        <v>mm/dd/yyyy</v>
      </c>
      <c r="E3" s="1658"/>
      <c r="F3" s="1658"/>
      <c r="G3" s="1658"/>
      <c r="H3" s="1658"/>
      <c r="I3" s="1658"/>
      <c r="J3" s="1658"/>
      <c r="K3" s="1658"/>
      <c r="L3" s="1658"/>
      <c r="M3" s="1658"/>
      <c r="N3" s="1658"/>
      <c r="O3" s="1658"/>
      <c r="P3" s="1658"/>
      <c r="Q3" s="1658"/>
      <c r="R3" s="1658"/>
      <c r="S3" s="1659"/>
      <c r="T3" s="1659"/>
      <c r="U3" s="1660"/>
    </row>
    <row r="4" spans="1:21" s="400" customFormat="1" ht="12" customHeight="1" x14ac:dyDescent="0.35">
      <c r="C4" s="1460" t="s">
        <v>75</v>
      </c>
      <c r="D4" s="1461" t="s">
        <v>75</v>
      </c>
      <c r="E4" s="1931" t="s">
        <v>75</v>
      </c>
      <c r="F4" s="1218"/>
      <c r="G4" s="1460" t="s">
        <v>76</v>
      </c>
      <c r="H4" s="1461" t="s">
        <v>76</v>
      </c>
      <c r="I4" s="1931" t="s">
        <v>76</v>
      </c>
      <c r="J4" s="1218"/>
      <c r="K4" s="1460" t="s">
        <v>77</v>
      </c>
      <c r="L4" s="1461" t="s">
        <v>77</v>
      </c>
      <c r="M4" s="1931" t="s">
        <v>77</v>
      </c>
      <c r="N4" s="1218"/>
      <c r="O4" s="1460" t="s">
        <v>78</v>
      </c>
      <c r="P4" s="1461" t="s">
        <v>78</v>
      </c>
      <c r="Q4" s="1931" t="s">
        <v>78</v>
      </c>
      <c r="R4" s="1218"/>
      <c r="S4" s="1460" t="s">
        <v>187</v>
      </c>
      <c r="T4" s="1461" t="s">
        <v>187</v>
      </c>
      <c r="U4" s="1931" t="s">
        <v>187</v>
      </c>
    </row>
    <row r="5" spans="1:21" s="400" customFormat="1" ht="12" customHeight="1" thickBot="1" x14ac:dyDescent="0.4">
      <c r="C5" s="1462" t="str">
        <f>D5</f>
        <v>mm/dd/yyyy</v>
      </c>
      <c r="D5" s="1463" t="str">
        <f>E5</f>
        <v>mm/dd/yyyy</v>
      </c>
      <c r="E5" s="1932" t="str">
        <f>IFERROR(EOMONTH(I5,-3),"mm/dd/yyyy")</f>
        <v>mm/dd/yyyy</v>
      </c>
      <c r="F5" s="1219"/>
      <c r="G5" s="1462" t="str">
        <f>H5</f>
        <v>mm/dd/yyyy</v>
      </c>
      <c r="H5" s="1463" t="str">
        <f>I5</f>
        <v>mm/dd/yyyy</v>
      </c>
      <c r="I5" s="1932" t="str">
        <f>IFERROR(EOMONTH(M5,-3),"mm/dd/yyyy")</f>
        <v>mm/dd/yyyy</v>
      </c>
      <c r="J5" s="1219"/>
      <c r="K5" s="1462" t="str">
        <f>L5</f>
        <v>mm/dd/yyyy</v>
      </c>
      <c r="L5" s="1463" t="str">
        <f>M5</f>
        <v>mm/dd/yyyy</v>
      </c>
      <c r="M5" s="1932" t="str">
        <f>IFERROR(EOMONTH(Q5,-3),"mm/dd/yyyy")</f>
        <v>mm/dd/yyyy</v>
      </c>
      <c r="N5" s="1219"/>
      <c r="O5" s="1462" t="str">
        <f>P5</f>
        <v>mm/dd/yyyy</v>
      </c>
      <c r="P5" s="1463" t="str">
        <f>Q5</f>
        <v>mm/dd/yyyy</v>
      </c>
      <c r="Q5" s="1932" t="str">
        <f>S5</f>
        <v>mm/dd/yyyy</v>
      </c>
      <c r="R5" s="1219"/>
      <c r="S5" s="1462" t="str">
        <f>T5</f>
        <v>mm/dd/yyyy</v>
      </c>
      <c r="T5" s="1463" t="str">
        <f>U5</f>
        <v>mm/dd/yyyy</v>
      </c>
      <c r="U5" s="1932" t="str">
        <f>D3</f>
        <v>mm/dd/yyyy</v>
      </c>
    </row>
    <row r="6" spans="1:21" s="783" customFormat="1" ht="29.5" thickBot="1" x14ac:dyDescent="0.3">
      <c r="A6" s="1464" t="s">
        <v>188</v>
      </c>
      <c r="B6" s="1465" t="s">
        <v>189</v>
      </c>
      <c r="C6" s="1466" t="s">
        <v>190</v>
      </c>
      <c r="D6" s="1467" t="s">
        <v>191</v>
      </c>
      <c r="E6" s="1933" t="s">
        <v>192</v>
      </c>
      <c r="F6" s="1220"/>
      <c r="G6" s="1466" t="s">
        <v>190</v>
      </c>
      <c r="H6" s="1467" t="s">
        <v>191</v>
      </c>
      <c r="I6" s="1933" t="s">
        <v>192</v>
      </c>
      <c r="J6" s="1220"/>
      <c r="K6" s="1466" t="s">
        <v>190</v>
      </c>
      <c r="L6" s="1467" t="s">
        <v>191</v>
      </c>
      <c r="M6" s="1933" t="s">
        <v>192</v>
      </c>
      <c r="N6" s="1220"/>
      <c r="O6" s="1466" t="s">
        <v>190</v>
      </c>
      <c r="P6" s="1467" t="s">
        <v>191</v>
      </c>
      <c r="Q6" s="1933" t="s">
        <v>192</v>
      </c>
      <c r="R6" s="1220"/>
      <c r="S6" s="1466" t="s">
        <v>190</v>
      </c>
      <c r="T6" s="1467" t="s">
        <v>191</v>
      </c>
      <c r="U6" s="1933" t="s">
        <v>192</v>
      </c>
    </row>
    <row r="7" spans="1:21" s="783" customFormat="1" x14ac:dyDescent="0.35">
      <c r="A7" s="784" t="s">
        <v>193</v>
      </c>
      <c r="B7" s="785" t="s">
        <v>194</v>
      </c>
      <c r="C7" s="1221">
        <v>0</v>
      </c>
      <c r="D7" s="1222">
        <v>0</v>
      </c>
      <c r="E7" s="605">
        <f>C7+D7</f>
        <v>0</v>
      </c>
      <c r="F7" s="1223"/>
      <c r="G7" s="1221">
        <v>0</v>
      </c>
      <c r="H7" s="1222">
        <v>0</v>
      </c>
      <c r="I7" s="605">
        <f>G7+H7</f>
        <v>0</v>
      </c>
      <c r="J7" s="1223"/>
      <c r="K7" s="1221">
        <v>0</v>
      </c>
      <c r="L7" s="1222">
        <v>0</v>
      </c>
      <c r="M7" s="605">
        <f>K7+L7</f>
        <v>0</v>
      </c>
      <c r="N7" s="1223"/>
      <c r="O7" s="1221">
        <v>0</v>
      </c>
      <c r="P7" s="1222">
        <v>0</v>
      </c>
      <c r="Q7" s="605">
        <f>O7+P7</f>
        <v>0</v>
      </c>
      <c r="R7" s="1223"/>
      <c r="S7" s="605">
        <f t="shared" ref="S7:T9" si="0">C7+G7+K7+O7</f>
        <v>0</v>
      </c>
      <c r="T7" s="605">
        <f t="shared" si="0"/>
        <v>0</v>
      </c>
      <c r="U7" s="605">
        <f>S7+T7</f>
        <v>0</v>
      </c>
    </row>
    <row r="8" spans="1:21" s="841" customFormat="1" x14ac:dyDescent="0.35">
      <c r="A8" s="829" t="s">
        <v>195</v>
      </c>
      <c r="B8" s="830" t="s">
        <v>196</v>
      </c>
      <c r="C8" s="1221">
        <v>0</v>
      </c>
      <c r="D8" s="1222">
        <v>0</v>
      </c>
      <c r="E8" s="605">
        <f>+C8+D8</f>
        <v>0</v>
      </c>
      <c r="F8" s="1223"/>
      <c r="G8" s="1221">
        <v>0</v>
      </c>
      <c r="H8" s="1222">
        <v>0</v>
      </c>
      <c r="I8" s="605">
        <f>+G8+H8</f>
        <v>0</v>
      </c>
      <c r="J8" s="1223"/>
      <c r="K8" s="1221">
        <v>0</v>
      </c>
      <c r="L8" s="1222">
        <v>0</v>
      </c>
      <c r="M8" s="605">
        <f>+K8+L8</f>
        <v>0</v>
      </c>
      <c r="N8" s="1223"/>
      <c r="O8" s="1221">
        <v>0</v>
      </c>
      <c r="P8" s="1222">
        <v>0</v>
      </c>
      <c r="Q8" s="605">
        <f>+O8+P8</f>
        <v>0</v>
      </c>
      <c r="R8" s="1223"/>
      <c r="S8" s="605">
        <f t="shared" si="0"/>
        <v>0</v>
      </c>
      <c r="T8" s="605">
        <f t="shared" si="0"/>
        <v>0</v>
      </c>
      <c r="U8" s="605">
        <f>S8+T8</f>
        <v>0</v>
      </c>
    </row>
    <row r="9" spans="1:21" s="841" customFormat="1" x14ac:dyDescent="0.35">
      <c r="A9" s="829" t="s">
        <v>197</v>
      </c>
      <c r="B9" s="831" t="s">
        <v>198</v>
      </c>
      <c r="C9" s="1221">
        <v>0</v>
      </c>
      <c r="D9" s="1222">
        <v>0</v>
      </c>
      <c r="E9" s="605">
        <f>+C9+D9</f>
        <v>0</v>
      </c>
      <c r="F9" s="1223"/>
      <c r="G9" s="1221">
        <v>0</v>
      </c>
      <c r="H9" s="1222">
        <v>0</v>
      </c>
      <c r="I9" s="605">
        <f>+G9+H9</f>
        <v>0</v>
      </c>
      <c r="J9" s="1223"/>
      <c r="K9" s="1221">
        <v>0</v>
      </c>
      <c r="L9" s="1222">
        <v>0</v>
      </c>
      <c r="M9" s="605">
        <f>+K9+L9</f>
        <v>0</v>
      </c>
      <c r="N9" s="1223"/>
      <c r="O9" s="1221">
        <v>0</v>
      </c>
      <c r="P9" s="1222">
        <v>0</v>
      </c>
      <c r="Q9" s="605">
        <f>+O9+P9</f>
        <v>0</v>
      </c>
      <c r="R9" s="1223"/>
      <c r="S9" s="605">
        <f t="shared" si="0"/>
        <v>0</v>
      </c>
      <c r="T9" s="605">
        <f t="shared" si="0"/>
        <v>0</v>
      </c>
      <c r="U9" s="605">
        <f>S9+T9</f>
        <v>0</v>
      </c>
    </row>
    <row r="10" spans="1:21" x14ac:dyDescent="0.35">
      <c r="A10" s="399" t="s">
        <v>199</v>
      </c>
      <c r="B10" s="538"/>
      <c r="C10" s="1224"/>
      <c r="D10" s="1225"/>
      <c r="E10" s="605"/>
      <c r="F10" s="1226"/>
      <c r="G10" s="1224"/>
      <c r="H10" s="1225"/>
      <c r="I10" s="605"/>
      <c r="J10" s="1226"/>
      <c r="K10" s="1224"/>
      <c r="L10" s="1225"/>
      <c r="M10" s="605"/>
      <c r="N10" s="1226"/>
      <c r="O10" s="1224"/>
      <c r="P10" s="1225"/>
      <c r="Q10" s="605"/>
      <c r="R10" s="1226"/>
      <c r="S10" s="605"/>
      <c r="T10" s="605"/>
      <c r="U10" s="605"/>
    </row>
    <row r="11" spans="1:21" x14ac:dyDescent="0.35">
      <c r="A11" s="411" t="s">
        <v>200</v>
      </c>
      <c r="B11" s="450" t="s">
        <v>201</v>
      </c>
      <c r="C11" s="1227">
        <v>0</v>
      </c>
      <c r="D11" s="603">
        <v>0</v>
      </c>
      <c r="E11" s="605">
        <f t="shared" ref="E11:E21" si="1">C11+D11</f>
        <v>0</v>
      </c>
      <c r="F11" s="1228"/>
      <c r="G11" s="1227">
        <v>0</v>
      </c>
      <c r="H11" s="603">
        <v>0</v>
      </c>
      <c r="I11" s="605">
        <f t="shared" ref="I11:I21" si="2">G11+H11</f>
        <v>0</v>
      </c>
      <c r="J11" s="1228"/>
      <c r="K11" s="1227">
        <v>0</v>
      </c>
      <c r="L11" s="603">
        <v>0</v>
      </c>
      <c r="M11" s="605">
        <f t="shared" ref="M11:M21" si="3">K11+L11</f>
        <v>0</v>
      </c>
      <c r="N11" s="1228"/>
      <c r="O11" s="1227">
        <v>0</v>
      </c>
      <c r="P11" s="603">
        <v>0</v>
      </c>
      <c r="Q11" s="605">
        <f t="shared" ref="Q11:Q21" si="4">O11+P11</f>
        <v>0</v>
      </c>
      <c r="R11" s="1228"/>
      <c r="S11" s="605">
        <f t="shared" ref="S11:S22" si="5">C11+G11+K11+O11</f>
        <v>0</v>
      </c>
      <c r="T11" s="605">
        <f t="shared" ref="T11:T22" si="6">D11+H11+L11+P11</f>
        <v>0</v>
      </c>
      <c r="U11" s="605">
        <f t="shared" ref="U11:U22" si="7">S11+T11</f>
        <v>0</v>
      </c>
    </row>
    <row r="12" spans="1:21" x14ac:dyDescent="0.35">
      <c r="A12" s="411" t="s">
        <v>202</v>
      </c>
      <c r="B12" s="450" t="s">
        <v>203</v>
      </c>
      <c r="C12" s="1227">
        <v>0</v>
      </c>
      <c r="D12" s="603">
        <v>0</v>
      </c>
      <c r="E12" s="605">
        <f t="shared" si="1"/>
        <v>0</v>
      </c>
      <c r="F12" s="1228"/>
      <c r="G12" s="1227">
        <v>0</v>
      </c>
      <c r="H12" s="603">
        <v>0</v>
      </c>
      <c r="I12" s="605">
        <f t="shared" si="2"/>
        <v>0</v>
      </c>
      <c r="J12" s="1228"/>
      <c r="K12" s="1227">
        <v>0</v>
      </c>
      <c r="L12" s="603">
        <v>0</v>
      </c>
      <c r="M12" s="605">
        <f t="shared" si="3"/>
        <v>0</v>
      </c>
      <c r="N12" s="1228"/>
      <c r="O12" s="1227">
        <v>0</v>
      </c>
      <c r="P12" s="603">
        <v>0</v>
      </c>
      <c r="Q12" s="605">
        <f t="shared" si="4"/>
        <v>0</v>
      </c>
      <c r="R12" s="1228"/>
      <c r="S12" s="605">
        <f t="shared" si="5"/>
        <v>0</v>
      </c>
      <c r="T12" s="605">
        <f t="shared" si="6"/>
        <v>0</v>
      </c>
      <c r="U12" s="605">
        <f t="shared" si="7"/>
        <v>0</v>
      </c>
    </row>
    <row r="13" spans="1:21" x14ac:dyDescent="0.35">
      <c r="A13" s="411" t="s">
        <v>204</v>
      </c>
      <c r="B13" s="450" t="s">
        <v>205</v>
      </c>
      <c r="C13" s="1227">
        <v>0</v>
      </c>
      <c r="D13" s="603">
        <v>0</v>
      </c>
      <c r="E13" s="605">
        <f t="shared" si="1"/>
        <v>0</v>
      </c>
      <c r="F13" s="1228"/>
      <c r="G13" s="1227">
        <v>0</v>
      </c>
      <c r="H13" s="603">
        <v>0</v>
      </c>
      <c r="I13" s="605">
        <f t="shared" si="2"/>
        <v>0</v>
      </c>
      <c r="J13" s="1228"/>
      <c r="K13" s="1227">
        <v>0</v>
      </c>
      <c r="L13" s="603">
        <v>0</v>
      </c>
      <c r="M13" s="605">
        <f t="shared" si="3"/>
        <v>0</v>
      </c>
      <c r="N13" s="1228"/>
      <c r="O13" s="1227">
        <v>0</v>
      </c>
      <c r="P13" s="603">
        <v>0</v>
      </c>
      <c r="Q13" s="605">
        <f t="shared" si="4"/>
        <v>0</v>
      </c>
      <c r="R13" s="1228"/>
      <c r="S13" s="605">
        <f t="shared" si="5"/>
        <v>0</v>
      </c>
      <c r="T13" s="605">
        <f t="shared" si="6"/>
        <v>0</v>
      </c>
      <c r="U13" s="605">
        <f t="shared" si="7"/>
        <v>0</v>
      </c>
    </row>
    <row r="14" spans="1:21" x14ac:dyDescent="0.35">
      <c r="A14" s="411" t="s">
        <v>206</v>
      </c>
      <c r="B14" s="450" t="s">
        <v>207</v>
      </c>
      <c r="C14" s="1227">
        <v>0</v>
      </c>
      <c r="D14" s="603">
        <v>0</v>
      </c>
      <c r="E14" s="605">
        <f t="shared" si="1"/>
        <v>0</v>
      </c>
      <c r="F14" s="1228"/>
      <c r="G14" s="1227">
        <v>0</v>
      </c>
      <c r="H14" s="603">
        <v>0</v>
      </c>
      <c r="I14" s="605">
        <f t="shared" si="2"/>
        <v>0</v>
      </c>
      <c r="J14" s="1228"/>
      <c r="K14" s="1227">
        <v>0</v>
      </c>
      <c r="L14" s="603">
        <v>0</v>
      </c>
      <c r="M14" s="605">
        <f t="shared" si="3"/>
        <v>0</v>
      </c>
      <c r="N14" s="1228"/>
      <c r="O14" s="1227">
        <v>0</v>
      </c>
      <c r="P14" s="603">
        <v>0</v>
      </c>
      <c r="Q14" s="605">
        <f t="shared" si="4"/>
        <v>0</v>
      </c>
      <c r="R14" s="1228"/>
      <c r="S14" s="605">
        <f t="shared" si="5"/>
        <v>0</v>
      </c>
      <c r="T14" s="605">
        <f t="shared" si="6"/>
        <v>0</v>
      </c>
      <c r="U14" s="605">
        <f t="shared" si="7"/>
        <v>0</v>
      </c>
    </row>
    <row r="15" spans="1:21" x14ac:dyDescent="0.35">
      <c r="A15" s="411" t="s">
        <v>208</v>
      </c>
      <c r="B15" s="450" t="s">
        <v>209</v>
      </c>
      <c r="C15" s="1227">
        <v>0</v>
      </c>
      <c r="D15" s="603">
        <v>0</v>
      </c>
      <c r="E15" s="605">
        <f t="shared" si="1"/>
        <v>0</v>
      </c>
      <c r="F15" s="1228"/>
      <c r="G15" s="1227">
        <v>0</v>
      </c>
      <c r="H15" s="603">
        <v>0</v>
      </c>
      <c r="I15" s="605">
        <f t="shared" si="2"/>
        <v>0</v>
      </c>
      <c r="J15" s="1228"/>
      <c r="K15" s="1227">
        <v>0</v>
      </c>
      <c r="L15" s="603">
        <v>0</v>
      </c>
      <c r="M15" s="605">
        <f t="shared" si="3"/>
        <v>0</v>
      </c>
      <c r="N15" s="1228"/>
      <c r="O15" s="1227">
        <v>0</v>
      </c>
      <c r="P15" s="603">
        <v>0</v>
      </c>
      <c r="Q15" s="605">
        <f t="shared" si="4"/>
        <v>0</v>
      </c>
      <c r="R15" s="1228"/>
      <c r="S15" s="605">
        <f t="shared" si="5"/>
        <v>0</v>
      </c>
      <c r="T15" s="605">
        <f t="shared" si="6"/>
        <v>0</v>
      </c>
      <c r="U15" s="605">
        <f t="shared" si="7"/>
        <v>0</v>
      </c>
    </row>
    <row r="16" spans="1:21" x14ac:dyDescent="0.35">
      <c r="A16" s="411" t="s">
        <v>210</v>
      </c>
      <c r="B16" s="450" t="s">
        <v>211</v>
      </c>
      <c r="C16" s="1227">
        <v>0</v>
      </c>
      <c r="D16" s="603">
        <v>0</v>
      </c>
      <c r="E16" s="605">
        <f t="shared" si="1"/>
        <v>0</v>
      </c>
      <c r="F16" s="1228"/>
      <c r="G16" s="1227">
        <v>0</v>
      </c>
      <c r="H16" s="603">
        <v>0</v>
      </c>
      <c r="I16" s="605">
        <f t="shared" si="2"/>
        <v>0</v>
      </c>
      <c r="J16" s="1228"/>
      <c r="K16" s="1227">
        <v>0</v>
      </c>
      <c r="L16" s="603">
        <v>0</v>
      </c>
      <c r="M16" s="605">
        <f t="shared" si="3"/>
        <v>0</v>
      </c>
      <c r="N16" s="1228"/>
      <c r="O16" s="1227">
        <v>0</v>
      </c>
      <c r="P16" s="603">
        <v>0</v>
      </c>
      <c r="Q16" s="605">
        <f t="shared" si="4"/>
        <v>0</v>
      </c>
      <c r="R16" s="1228"/>
      <c r="S16" s="605">
        <f t="shared" si="5"/>
        <v>0</v>
      </c>
      <c r="T16" s="605">
        <f t="shared" si="6"/>
        <v>0</v>
      </c>
      <c r="U16" s="605">
        <f t="shared" si="7"/>
        <v>0</v>
      </c>
    </row>
    <row r="17" spans="1:21" ht="15" thickBot="1" x14ac:dyDescent="0.4">
      <c r="A17" s="606" t="s">
        <v>212</v>
      </c>
      <c r="B17" s="607" t="s">
        <v>213</v>
      </c>
      <c r="C17" s="1229">
        <v>0</v>
      </c>
      <c r="D17" s="603">
        <v>0</v>
      </c>
      <c r="E17" s="605">
        <f t="shared" si="1"/>
        <v>0</v>
      </c>
      <c r="F17" s="1228"/>
      <c r="G17" s="1229">
        <v>0</v>
      </c>
      <c r="H17" s="603">
        <v>0</v>
      </c>
      <c r="I17" s="605">
        <f t="shared" si="2"/>
        <v>0</v>
      </c>
      <c r="J17" s="1228"/>
      <c r="K17" s="1229">
        <v>0</v>
      </c>
      <c r="L17" s="603">
        <v>0</v>
      </c>
      <c r="M17" s="605">
        <f t="shared" si="3"/>
        <v>0</v>
      </c>
      <c r="N17" s="1228"/>
      <c r="O17" s="1229">
        <v>0</v>
      </c>
      <c r="P17" s="603">
        <v>0</v>
      </c>
      <c r="Q17" s="605">
        <f t="shared" si="4"/>
        <v>0</v>
      </c>
      <c r="R17" s="1228"/>
      <c r="S17" s="605">
        <f t="shared" si="5"/>
        <v>0</v>
      </c>
      <c r="T17" s="605">
        <f t="shared" si="6"/>
        <v>0</v>
      </c>
      <c r="U17" s="605">
        <f t="shared" si="7"/>
        <v>0</v>
      </c>
    </row>
    <row r="18" spans="1:21" s="596" customFormat="1" ht="15" thickBot="1" x14ac:dyDescent="0.4">
      <c r="A18" s="421">
        <v>40199</v>
      </c>
      <c r="B18" s="610" t="s">
        <v>214</v>
      </c>
      <c r="C18" s="1230">
        <f>SUM(C11:C17)</f>
        <v>0</v>
      </c>
      <c r="D18" s="1231">
        <f>SUM(D11:D17)</f>
        <v>0</v>
      </c>
      <c r="E18" s="612">
        <f t="shared" si="1"/>
        <v>0</v>
      </c>
      <c r="F18" s="1232"/>
      <c r="G18" s="1230">
        <f>SUM(G11:G17)</f>
        <v>0</v>
      </c>
      <c r="H18" s="1231">
        <f>SUM(H11:H17)</f>
        <v>0</v>
      </c>
      <c r="I18" s="612">
        <f t="shared" si="2"/>
        <v>0</v>
      </c>
      <c r="J18" s="1232"/>
      <c r="K18" s="1230">
        <f>SUM(K11:K17)</f>
        <v>0</v>
      </c>
      <c r="L18" s="1231">
        <f>SUM(L11:L17)</f>
        <v>0</v>
      </c>
      <c r="M18" s="612">
        <f t="shared" si="3"/>
        <v>0</v>
      </c>
      <c r="N18" s="1232"/>
      <c r="O18" s="1230">
        <f>SUM(O11:O17)</f>
        <v>0</v>
      </c>
      <c r="P18" s="1231">
        <f>SUM(P11:P17)</f>
        <v>0</v>
      </c>
      <c r="Q18" s="612">
        <f t="shared" si="4"/>
        <v>0</v>
      </c>
      <c r="R18" s="1232"/>
      <c r="S18" s="612">
        <f t="shared" si="5"/>
        <v>0</v>
      </c>
      <c r="T18" s="612">
        <f t="shared" si="6"/>
        <v>0</v>
      </c>
      <c r="U18" s="612">
        <f t="shared" si="7"/>
        <v>0</v>
      </c>
    </row>
    <row r="19" spans="1:21" x14ac:dyDescent="0.35">
      <c r="A19" s="411" t="s">
        <v>215</v>
      </c>
      <c r="B19" s="450" t="s">
        <v>216</v>
      </c>
      <c r="C19" s="1233">
        <v>0</v>
      </c>
      <c r="D19" s="603">
        <v>0</v>
      </c>
      <c r="E19" s="605">
        <f t="shared" si="1"/>
        <v>0</v>
      </c>
      <c r="F19" s="1228"/>
      <c r="G19" s="1233">
        <v>0</v>
      </c>
      <c r="H19" s="603">
        <v>0</v>
      </c>
      <c r="I19" s="605">
        <f t="shared" si="2"/>
        <v>0</v>
      </c>
      <c r="J19" s="1228"/>
      <c r="K19" s="1233">
        <v>0</v>
      </c>
      <c r="L19" s="603">
        <v>0</v>
      </c>
      <c r="M19" s="605">
        <f t="shared" si="3"/>
        <v>0</v>
      </c>
      <c r="N19" s="1228"/>
      <c r="O19" s="1233">
        <v>0</v>
      </c>
      <c r="P19" s="603">
        <v>0</v>
      </c>
      <c r="Q19" s="605">
        <f t="shared" si="4"/>
        <v>0</v>
      </c>
      <c r="R19" s="1228"/>
      <c r="S19" s="605">
        <f t="shared" si="5"/>
        <v>0</v>
      </c>
      <c r="T19" s="605">
        <f t="shared" si="6"/>
        <v>0</v>
      </c>
      <c r="U19" s="605">
        <f t="shared" si="7"/>
        <v>0</v>
      </c>
    </row>
    <row r="20" spans="1:21" x14ac:dyDescent="0.35">
      <c r="A20" s="411" t="s">
        <v>217</v>
      </c>
      <c r="B20" s="615" t="s">
        <v>218</v>
      </c>
      <c r="C20" s="1234">
        <v>0</v>
      </c>
      <c r="D20" s="603">
        <v>0</v>
      </c>
      <c r="E20" s="605">
        <f t="shared" si="1"/>
        <v>0</v>
      </c>
      <c r="F20" s="1228"/>
      <c r="G20" s="1234">
        <v>0</v>
      </c>
      <c r="H20" s="603">
        <v>0</v>
      </c>
      <c r="I20" s="605">
        <f t="shared" si="2"/>
        <v>0</v>
      </c>
      <c r="J20" s="1228"/>
      <c r="K20" s="1234">
        <v>0</v>
      </c>
      <c r="L20" s="603">
        <v>0</v>
      </c>
      <c r="M20" s="605">
        <f t="shared" si="3"/>
        <v>0</v>
      </c>
      <c r="N20" s="1228"/>
      <c r="O20" s="1234">
        <v>0</v>
      </c>
      <c r="P20" s="603">
        <v>0</v>
      </c>
      <c r="Q20" s="605">
        <f t="shared" si="4"/>
        <v>0</v>
      </c>
      <c r="R20" s="1228"/>
      <c r="S20" s="605">
        <f t="shared" si="5"/>
        <v>0</v>
      </c>
      <c r="T20" s="605">
        <f t="shared" si="6"/>
        <v>0</v>
      </c>
      <c r="U20" s="605">
        <f t="shared" si="7"/>
        <v>0</v>
      </c>
    </row>
    <row r="21" spans="1:21" ht="15" thickBot="1" x14ac:dyDescent="0.4">
      <c r="A21" s="411" t="s">
        <v>219</v>
      </c>
      <c r="B21" s="450" t="s">
        <v>220</v>
      </c>
      <c r="C21" s="1234">
        <v>0</v>
      </c>
      <c r="D21" s="603">
        <v>0</v>
      </c>
      <c r="E21" s="605">
        <f t="shared" si="1"/>
        <v>0</v>
      </c>
      <c r="F21" s="1228"/>
      <c r="G21" s="1234">
        <v>0</v>
      </c>
      <c r="H21" s="603">
        <v>0</v>
      </c>
      <c r="I21" s="605">
        <f t="shared" si="2"/>
        <v>0</v>
      </c>
      <c r="J21" s="1228"/>
      <c r="K21" s="1234">
        <v>0</v>
      </c>
      <c r="L21" s="603">
        <v>0</v>
      </c>
      <c r="M21" s="605">
        <f t="shared" si="3"/>
        <v>0</v>
      </c>
      <c r="N21" s="1228"/>
      <c r="O21" s="1234">
        <v>0</v>
      </c>
      <c r="P21" s="603">
        <v>0</v>
      </c>
      <c r="Q21" s="605">
        <f t="shared" si="4"/>
        <v>0</v>
      </c>
      <c r="R21" s="1228"/>
      <c r="S21" s="605">
        <f t="shared" si="5"/>
        <v>0</v>
      </c>
      <c r="T21" s="605">
        <f t="shared" si="6"/>
        <v>0</v>
      </c>
      <c r="U21" s="605">
        <f t="shared" si="7"/>
        <v>0</v>
      </c>
    </row>
    <row r="22" spans="1:21" ht="15" thickBot="1" x14ac:dyDescent="0.4">
      <c r="A22" s="421">
        <v>49999</v>
      </c>
      <c r="B22" s="610" t="s">
        <v>221</v>
      </c>
      <c r="C22" s="1230">
        <f>C18+C19+C20+C21</f>
        <v>0</v>
      </c>
      <c r="D22" s="1231">
        <f>D18+D19+D20+D21</f>
        <v>0</v>
      </c>
      <c r="E22" s="612">
        <f>E18+E19+E20+E21</f>
        <v>0</v>
      </c>
      <c r="F22" s="1232"/>
      <c r="G22" s="1230">
        <f>G18+G19+G20+G21</f>
        <v>0</v>
      </c>
      <c r="H22" s="1231">
        <f>H18+H19+H20+H21</f>
        <v>0</v>
      </c>
      <c r="I22" s="612">
        <f>I18+I19+I20+I21</f>
        <v>0</v>
      </c>
      <c r="J22" s="1232"/>
      <c r="K22" s="1230">
        <f>K18+K19+K20+K21</f>
        <v>0</v>
      </c>
      <c r="L22" s="1231">
        <f>L18+L19+L20+L21</f>
        <v>0</v>
      </c>
      <c r="M22" s="612">
        <f>M18+M19+M20+M21</f>
        <v>0</v>
      </c>
      <c r="N22" s="1232"/>
      <c r="O22" s="1230">
        <f>O18+O19+O20+O21</f>
        <v>0</v>
      </c>
      <c r="P22" s="1231">
        <f>P18+P19+P20+P21</f>
        <v>0</v>
      </c>
      <c r="Q22" s="612">
        <f>Q18+Q19+Q20+Q21</f>
        <v>0</v>
      </c>
      <c r="R22" s="1232"/>
      <c r="S22" s="612">
        <f t="shared" si="5"/>
        <v>0</v>
      </c>
      <c r="T22" s="612">
        <f t="shared" si="6"/>
        <v>0</v>
      </c>
      <c r="U22" s="612">
        <f t="shared" si="7"/>
        <v>0</v>
      </c>
    </row>
    <row r="23" spans="1:21" x14ac:dyDescent="0.35">
      <c r="A23" s="399" t="s">
        <v>222</v>
      </c>
      <c r="B23" s="538"/>
      <c r="C23" s="1235"/>
      <c r="D23" s="1225"/>
      <c r="E23" s="605"/>
      <c r="F23" s="1226"/>
      <c r="G23" s="1235"/>
      <c r="H23" s="1225"/>
      <c r="I23" s="605"/>
      <c r="J23" s="1226"/>
      <c r="K23" s="1235"/>
      <c r="L23" s="1225"/>
      <c r="M23" s="605"/>
      <c r="N23" s="1226"/>
      <c r="O23" s="1235"/>
      <c r="P23" s="1225"/>
      <c r="Q23" s="605"/>
      <c r="R23" s="1226"/>
      <c r="S23" s="605"/>
      <c r="T23" s="605"/>
      <c r="U23" s="605"/>
    </row>
    <row r="24" spans="1:21" x14ac:dyDescent="0.35">
      <c r="A24" s="444" t="s">
        <v>223</v>
      </c>
      <c r="B24" s="450" t="s">
        <v>224</v>
      </c>
      <c r="C24" s="1234">
        <v>0</v>
      </c>
      <c r="D24" s="603">
        <v>0</v>
      </c>
      <c r="E24" s="605">
        <f t="shared" ref="E24:E30" si="8">C24+D24</f>
        <v>0</v>
      </c>
      <c r="F24" s="1228"/>
      <c r="G24" s="1234">
        <v>0</v>
      </c>
      <c r="H24" s="603">
        <v>0</v>
      </c>
      <c r="I24" s="605">
        <f t="shared" ref="I24:I30" si="9">G24+H24</f>
        <v>0</v>
      </c>
      <c r="J24" s="1228"/>
      <c r="K24" s="1234">
        <v>0</v>
      </c>
      <c r="L24" s="603">
        <v>0</v>
      </c>
      <c r="M24" s="605">
        <f t="shared" ref="M24:M30" si="10">K24+L24</f>
        <v>0</v>
      </c>
      <c r="N24" s="1228"/>
      <c r="O24" s="1234">
        <v>0</v>
      </c>
      <c r="P24" s="603">
        <v>0</v>
      </c>
      <c r="Q24" s="605">
        <f t="shared" ref="Q24:Q30" si="11">O24+P24</f>
        <v>0</v>
      </c>
      <c r="R24" s="1228"/>
      <c r="S24" s="605">
        <f t="shared" ref="S24:T30" si="12">C24+G24+K24+O24</f>
        <v>0</v>
      </c>
      <c r="T24" s="605">
        <f t="shared" si="12"/>
        <v>0</v>
      </c>
      <c r="U24" s="605">
        <f t="shared" ref="U24:U30" si="13">S24+T24</f>
        <v>0</v>
      </c>
    </row>
    <row r="25" spans="1:21" x14ac:dyDescent="0.35">
      <c r="A25" s="445" t="s">
        <v>225</v>
      </c>
      <c r="B25" s="450" t="s">
        <v>226</v>
      </c>
      <c r="C25" s="1234">
        <v>0</v>
      </c>
      <c r="D25" s="603">
        <v>0</v>
      </c>
      <c r="E25" s="605">
        <f t="shared" si="8"/>
        <v>0</v>
      </c>
      <c r="F25" s="1228"/>
      <c r="G25" s="1234">
        <v>0</v>
      </c>
      <c r="H25" s="603">
        <v>0</v>
      </c>
      <c r="I25" s="605">
        <f t="shared" si="9"/>
        <v>0</v>
      </c>
      <c r="J25" s="1228"/>
      <c r="K25" s="1234">
        <v>0</v>
      </c>
      <c r="L25" s="603">
        <v>0</v>
      </c>
      <c r="M25" s="605">
        <f t="shared" si="10"/>
        <v>0</v>
      </c>
      <c r="N25" s="1228"/>
      <c r="O25" s="1234">
        <v>0</v>
      </c>
      <c r="P25" s="603">
        <v>0</v>
      </c>
      <c r="Q25" s="605">
        <f t="shared" si="11"/>
        <v>0</v>
      </c>
      <c r="R25" s="1228"/>
      <c r="S25" s="605">
        <f t="shared" si="12"/>
        <v>0</v>
      </c>
      <c r="T25" s="605">
        <f t="shared" si="12"/>
        <v>0</v>
      </c>
      <c r="U25" s="605">
        <f t="shared" si="13"/>
        <v>0</v>
      </c>
    </row>
    <row r="26" spans="1:21" x14ac:dyDescent="0.35">
      <c r="A26" s="445" t="s">
        <v>227</v>
      </c>
      <c r="B26" s="450" t="s">
        <v>228</v>
      </c>
      <c r="C26" s="1234">
        <v>0</v>
      </c>
      <c r="D26" s="603">
        <v>0</v>
      </c>
      <c r="E26" s="605">
        <f t="shared" si="8"/>
        <v>0</v>
      </c>
      <c r="F26" s="1228"/>
      <c r="G26" s="1234">
        <v>0</v>
      </c>
      <c r="H26" s="603">
        <v>0</v>
      </c>
      <c r="I26" s="605">
        <f t="shared" si="9"/>
        <v>0</v>
      </c>
      <c r="J26" s="1228"/>
      <c r="K26" s="1234">
        <v>0</v>
      </c>
      <c r="L26" s="603">
        <v>0</v>
      </c>
      <c r="M26" s="605">
        <f t="shared" si="10"/>
        <v>0</v>
      </c>
      <c r="N26" s="1228"/>
      <c r="O26" s="1234">
        <v>0</v>
      </c>
      <c r="P26" s="603">
        <v>0</v>
      </c>
      <c r="Q26" s="605">
        <f t="shared" si="11"/>
        <v>0</v>
      </c>
      <c r="R26" s="1228"/>
      <c r="S26" s="605">
        <f t="shared" si="12"/>
        <v>0</v>
      </c>
      <c r="T26" s="605">
        <f t="shared" si="12"/>
        <v>0</v>
      </c>
      <c r="U26" s="605">
        <f t="shared" si="13"/>
        <v>0</v>
      </c>
    </row>
    <row r="27" spans="1:21" x14ac:dyDescent="0.35">
      <c r="A27" s="411" t="s">
        <v>229</v>
      </c>
      <c r="B27" s="450" t="s">
        <v>230</v>
      </c>
      <c r="C27" s="1234">
        <v>0</v>
      </c>
      <c r="D27" s="603">
        <v>0</v>
      </c>
      <c r="E27" s="605">
        <f t="shared" si="8"/>
        <v>0</v>
      </c>
      <c r="F27" s="1228"/>
      <c r="G27" s="1234">
        <v>0</v>
      </c>
      <c r="H27" s="603">
        <v>0</v>
      </c>
      <c r="I27" s="605">
        <f t="shared" si="9"/>
        <v>0</v>
      </c>
      <c r="J27" s="1228"/>
      <c r="K27" s="1234">
        <v>0</v>
      </c>
      <c r="L27" s="603">
        <v>0</v>
      </c>
      <c r="M27" s="605">
        <f t="shared" si="10"/>
        <v>0</v>
      </c>
      <c r="N27" s="1228"/>
      <c r="O27" s="1234">
        <v>0</v>
      </c>
      <c r="P27" s="603">
        <v>0</v>
      </c>
      <c r="Q27" s="605">
        <f t="shared" si="11"/>
        <v>0</v>
      </c>
      <c r="R27" s="1228"/>
      <c r="S27" s="605">
        <f t="shared" si="12"/>
        <v>0</v>
      </c>
      <c r="T27" s="605">
        <f t="shared" si="12"/>
        <v>0</v>
      </c>
      <c r="U27" s="605">
        <f t="shared" si="13"/>
        <v>0</v>
      </c>
    </row>
    <row r="28" spans="1:21" x14ac:dyDescent="0.35">
      <c r="A28" s="411" t="s">
        <v>231</v>
      </c>
      <c r="B28" s="450" t="s">
        <v>232</v>
      </c>
      <c r="C28" s="1234">
        <v>0</v>
      </c>
      <c r="D28" s="603">
        <v>0</v>
      </c>
      <c r="E28" s="605">
        <f t="shared" si="8"/>
        <v>0</v>
      </c>
      <c r="F28" s="1228"/>
      <c r="G28" s="1234">
        <v>0</v>
      </c>
      <c r="H28" s="603">
        <v>0</v>
      </c>
      <c r="I28" s="605">
        <f t="shared" si="9"/>
        <v>0</v>
      </c>
      <c r="J28" s="1228"/>
      <c r="K28" s="1234">
        <v>0</v>
      </c>
      <c r="L28" s="603">
        <v>0</v>
      </c>
      <c r="M28" s="605">
        <f t="shared" si="10"/>
        <v>0</v>
      </c>
      <c r="N28" s="1228"/>
      <c r="O28" s="1234">
        <v>0</v>
      </c>
      <c r="P28" s="603">
        <v>0</v>
      </c>
      <c r="Q28" s="605">
        <f t="shared" si="11"/>
        <v>0</v>
      </c>
      <c r="R28" s="1228"/>
      <c r="S28" s="605">
        <f t="shared" si="12"/>
        <v>0</v>
      </c>
      <c r="T28" s="605">
        <f t="shared" si="12"/>
        <v>0</v>
      </c>
      <c r="U28" s="605">
        <f t="shared" si="13"/>
        <v>0</v>
      </c>
    </row>
    <row r="29" spans="1:21" ht="15" thickBot="1" x14ac:dyDescent="0.4">
      <c r="A29" s="411" t="s">
        <v>233</v>
      </c>
      <c r="B29" s="450" t="s">
        <v>234</v>
      </c>
      <c r="C29" s="1236">
        <v>0</v>
      </c>
      <c r="D29" s="603">
        <v>0</v>
      </c>
      <c r="E29" s="605">
        <f t="shared" si="8"/>
        <v>0</v>
      </c>
      <c r="F29" s="1228"/>
      <c r="G29" s="1236">
        <v>0</v>
      </c>
      <c r="H29" s="603">
        <v>0</v>
      </c>
      <c r="I29" s="605">
        <f t="shared" si="9"/>
        <v>0</v>
      </c>
      <c r="J29" s="1228"/>
      <c r="K29" s="1236">
        <v>0</v>
      </c>
      <c r="L29" s="603">
        <v>0</v>
      </c>
      <c r="M29" s="605">
        <f t="shared" si="10"/>
        <v>0</v>
      </c>
      <c r="N29" s="1228"/>
      <c r="O29" s="1236">
        <v>0</v>
      </c>
      <c r="P29" s="603">
        <v>0</v>
      </c>
      <c r="Q29" s="605">
        <f t="shared" si="11"/>
        <v>0</v>
      </c>
      <c r="R29" s="1228"/>
      <c r="S29" s="605">
        <f t="shared" si="12"/>
        <v>0</v>
      </c>
      <c r="T29" s="605">
        <f t="shared" si="12"/>
        <v>0</v>
      </c>
      <c r="U29" s="605">
        <f t="shared" si="13"/>
        <v>0</v>
      </c>
    </row>
    <row r="30" spans="1:21" ht="15" thickBot="1" x14ac:dyDescent="0.4">
      <c r="A30" s="421" t="s">
        <v>235</v>
      </c>
      <c r="B30" s="610" t="s">
        <v>236</v>
      </c>
      <c r="C30" s="1230">
        <f>SUM(C24:C29)</f>
        <v>0</v>
      </c>
      <c r="D30" s="1231">
        <f>SUM(D24:D29)</f>
        <v>0</v>
      </c>
      <c r="E30" s="612">
        <f t="shared" si="8"/>
        <v>0</v>
      </c>
      <c r="F30" s="1232"/>
      <c r="G30" s="1230">
        <f>SUM(G24:G29)</f>
        <v>0</v>
      </c>
      <c r="H30" s="1231">
        <f>SUM(H24:H29)</f>
        <v>0</v>
      </c>
      <c r="I30" s="612">
        <f t="shared" si="9"/>
        <v>0</v>
      </c>
      <c r="J30" s="1232"/>
      <c r="K30" s="1230">
        <f>SUM(K24:K29)</f>
        <v>0</v>
      </c>
      <c r="L30" s="1231">
        <f>SUM(L24:L29)</f>
        <v>0</v>
      </c>
      <c r="M30" s="612">
        <f t="shared" si="10"/>
        <v>0</v>
      </c>
      <c r="N30" s="1232"/>
      <c r="O30" s="1230">
        <f>SUM(O24:O29)</f>
        <v>0</v>
      </c>
      <c r="P30" s="1231">
        <f>SUM(P24:P29)</f>
        <v>0</v>
      </c>
      <c r="Q30" s="612">
        <f t="shared" si="11"/>
        <v>0</v>
      </c>
      <c r="R30" s="1232"/>
      <c r="S30" s="612">
        <f t="shared" si="12"/>
        <v>0</v>
      </c>
      <c r="T30" s="612">
        <f t="shared" si="12"/>
        <v>0</v>
      </c>
      <c r="U30" s="612">
        <f t="shared" si="13"/>
        <v>0</v>
      </c>
    </row>
    <row r="31" spans="1:21" x14ac:dyDescent="0.35">
      <c r="A31" s="399" t="s">
        <v>237</v>
      </c>
      <c r="B31" s="538"/>
      <c r="C31" s="1235"/>
      <c r="D31" s="1225"/>
      <c r="E31" s="605"/>
      <c r="F31" s="1226"/>
      <c r="G31" s="1235"/>
      <c r="H31" s="1225"/>
      <c r="I31" s="605"/>
      <c r="J31" s="1226"/>
      <c r="K31" s="1235"/>
      <c r="L31" s="1225"/>
      <c r="M31" s="605"/>
      <c r="N31" s="1226"/>
      <c r="O31" s="1235"/>
      <c r="P31" s="1225"/>
      <c r="Q31" s="605"/>
      <c r="R31" s="1226"/>
      <c r="S31" s="605"/>
      <c r="T31" s="605"/>
      <c r="U31" s="605"/>
    </row>
    <row r="32" spans="1:21" x14ac:dyDescent="0.35">
      <c r="A32" s="411" t="s">
        <v>238</v>
      </c>
      <c r="B32" s="450" t="s">
        <v>239</v>
      </c>
      <c r="C32" s="1234">
        <v>0</v>
      </c>
      <c r="D32" s="603">
        <v>0</v>
      </c>
      <c r="E32" s="605">
        <f t="shared" ref="E32:E47" si="14">C32+D32</f>
        <v>0</v>
      </c>
      <c r="F32" s="1228"/>
      <c r="G32" s="1234">
        <v>0</v>
      </c>
      <c r="H32" s="603">
        <v>0</v>
      </c>
      <c r="I32" s="605">
        <f t="shared" ref="I32:I47" si="15">G32+H32</f>
        <v>0</v>
      </c>
      <c r="J32" s="1228"/>
      <c r="K32" s="1234">
        <v>0</v>
      </c>
      <c r="L32" s="603">
        <v>0</v>
      </c>
      <c r="M32" s="605">
        <f t="shared" ref="M32:M47" si="16">K32+L32</f>
        <v>0</v>
      </c>
      <c r="N32" s="1228"/>
      <c r="O32" s="1234">
        <v>0</v>
      </c>
      <c r="P32" s="603">
        <v>0</v>
      </c>
      <c r="Q32" s="605">
        <f t="shared" ref="Q32:Q47" si="17">O32+P32</f>
        <v>0</v>
      </c>
      <c r="R32" s="1228"/>
      <c r="S32" s="605">
        <f t="shared" ref="S32:S47" si="18">C32+G32+K32+O32</f>
        <v>0</v>
      </c>
      <c r="T32" s="605">
        <f t="shared" ref="T32:T47" si="19">D32+H32+L32+P32</f>
        <v>0</v>
      </c>
      <c r="U32" s="605">
        <f t="shared" ref="U32:U47" si="20">S32+T32</f>
        <v>0</v>
      </c>
    </row>
    <row r="33" spans="1:21" x14ac:dyDescent="0.35">
      <c r="A33" s="411" t="s">
        <v>240</v>
      </c>
      <c r="B33" s="450" t="s">
        <v>241</v>
      </c>
      <c r="C33" s="1234">
        <v>0</v>
      </c>
      <c r="D33" s="603">
        <v>0</v>
      </c>
      <c r="E33" s="605">
        <f t="shared" si="14"/>
        <v>0</v>
      </c>
      <c r="F33" s="1228"/>
      <c r="G33" s="1234">
        <v>0</v>
      </c>
      <c r="H33" s="603">
        <v>0</v>
      </c>
      <c r="I33" s="605">
        <f t="shared" si="15"/>
        <v>0</v>
      </c>
      <c r="J33" s="1228"/>
      <c r="K33" s="1234">
        <v>0</v>
      </c>
      <c r="L33" s="603">
        <v>0</v>
      </c>
      <c r="M33" s="605">
        <f t="shared" si="16"/>
        <v>0</v>
      </c>
      <c r="N33" s="1228"/>
      <c r="O33" s="1234">
        <v>0</v>
      </c>
      <c r="P33" s="603">
        <v>0</v>
      </c>
      <c r="Q33" s="605">
        <f t="shared" si="17"/>
        <v>0</v>
      </c>
      <c r="R33" s="1228"/>
      <c r="S33" s="605">
        <f t="shared" si="18"/>
        <v>0</v>
      </c>
      <c r="T33" s="605">
        <f t="shared" si="19"/>
        <v>0</v>
      </c>
      <c r="U33" s="605">
        <f t="shared" si="20"/>
        <v>0</v>
      </c>
    </row>
    <row r="34" spans="1:21" x14ac:dyDescent="0.35">
      <c r="A34" s="411" t="s">
        <v>242</v>
      </c>
      <c r="B34" s="450" t="s">
        <v>243</v>
      </c>
      <c r="C34" s="1234">
        <v>0</v>
      </c>
      <c r="D34" s="603">
        <v>0</v>
      </c>
      <c r="E34" s="605">
        <f t="shared" si="14"/>
        <v>0</v>
      </c>
      <c r="F34" s="1228"/>
      <c r="G34" s="1234">
        <v>0</v>
      </c>
      <c r="H34" s="603">
        <v>0</v>
      </c>
      <c r="I34" s="605">
        <f t="shared" si="15"/>
        <v>0</v>
      </c>
      <c r="J34" s="1228"/>
      <c r="K34" s="1234">
        <v>0</v>
      </c>
      <c r="L34" s="603">
        <v>0</v>
      </c>
      <c r="M34" s="605">
        <f t="shared" si="16"/>
        <v>0</v>
      </c>
      <c r="N34" s="1228"/>
      <c r="O34" s="1234">
        <v>0</v>
      </c>
      <c r="P34" s="603">
        <v>0</v>
      </c>
      <c r="Q34" s="605">
        <f t="shared" si="17"/>
        <v>0</v>
      </c>
      <c r="R34" s="1228"/>
      <c r="S34" s="605">
        <f t="shared" si="18"/>
        <v>0</v>
      </c>
      <c r="T34" s="605">
        <f t="shared" si="19"/>
        <v>0</v>
      </c>
      <c r="U34" s="605">
        <f t="shared" si="20"/>
        <v>0</v>
      </c>
    </row>
    <row r="35" spans="1:21" x14ac:dyDescent="0.35">
      <c r="A35" s="411" t="s">
        <v>244</v>
      </c>
      <c r="B35" s="450" t="s">
        <v>245</v>
      </c>
      <c r="C35" s="1234">
        <v>0</v>
      </c>
      <c r="D35" s="603">
        <v>0</v>
      </c>
      <c r="E35" s="605">
        <f t="shared" si="14"/>
        <v>0</v>
      </c>
      <c r="F35" s="1228"/>
      <c r="G35" s="1234">
        <v>0</v>
      </c>
      <c r="H35" s="603">
        <v>0</v>
      </c>
      <c r="I35" s="605">
        <f t="shared" si="15"/>
        <v>0</v>
      </c>
      <c r="J35" s="1228"/>
      <c r="K35" s="1234">
        <v>0</v>
      </c>
      <c r="L35" s="603">
        <v>0</v>
      </c>
      <c r="M35" s="605">
        <f t="shared" si="16"/>
        <v>0</v>
      </c>
      <c r="N35" s="1228"/>
      <c r="O35" s="1234">
        <v>0</v>
      </c>
      <c r="P35" s="603">
        <v>0</v>
      </c>
      <c r="Q35" s="605">
        <f t="shared" si="17"/>
        <v>0</v>
      </c>
      <c r="R35" s="1228"/>
      <c r="S35" s="605">
        <f t="shared" si="18"/>
        <v>0</v>
      </c>
      <c r="T35" s="605">
        <f t="shared" si="19"/>
        <v>0</v>
      </c>
      <c r="U35" s="605">
        <f t="shared" si="20"/>
        <v>0</v>
      </c>
    </row>
    <row r="36" spans="1:21" x14ac:dyDescent="0.35">
      <c r="A36" s="411" t="s">
        <v>246</v>
      </c>
      <c r="B36" s="450" t="s">
        <v>247</v>
      </c>
      <c r="C36" s="1234">
        <v>0</v>
      </c>
      <c r="D36" s="603">
        <v>0</v>
      </c>
      <c r="E36" s="605">
        <f t="shared" si="14"/>
        <v>0</v>
      </c>
      <c r="F36" s="1228"/>
      <c r="G36" s="1234">
        <v>0</v>
      </c>
      <c r="H36" s="603">
        <v>0</v>
      </c>
      <c r="I36" s="605">
        <f t="shared" si="15"/>
        <v>0</v>
      </c>
      <c r="J36" s="1228"/>
      <c r="K36" s="1234">
        <v>0</v>
      </c>
      <c r="L36" s="603">
        <v>0</v>
      </c>
      <c r="M36" s="605">
        <f t="shared" si="16"/>
        <v>0</v>
      </c>
      <c r="N36" s="1228"/>
      <c r="O36" s="1234">
        <v>0</v>
      </c>
      <c r="P36" s="603">
        <v>0</v>
      </c>
      <c r="Q36" s="605">
        <f t="shared" si="17"/>
        <v>0</v>
      </c>
      <c r="R36" s="1228"/>
      <c r="S36" s="605">
        <f t="shared" si="18"/>
        <v>0</v>
      </c>
      <c r="T36" s="605">
        <f t="shared" si="19"/>
        <v>0</v>
      </c>
      <c r="U36" s="605">
        <f t="shared" si="20"/>
        <v>0</v>
      </c>
    </row>
    <row r="37" spans="1:21" x14ac:dyDescent="0.35">
      <c r="A37" s="411" t="s">
        <v>248</v>
      </c>
      <c r="B37" s="450" t="s">
        <v>249</v>
      </c>
      <c r="C37" s="1234">
        <v>0</v>
      </c>
      <c r="D37" s="603">
        <v>0</v>
      </c>
      <c r="E37" s="605">
        <f t="shared" si="14"/>
        <v>0</v>
      </c>
      <c r="F37" s="1228"/>
      <c r="G37" s="1234">
        <v>0</v>
      </c>
      <c r="H37" s="603">
        <v>0</v>
      </c>
      <c r="I37" s="605">
        <f t="shared" si="15"/>
        <v>0</v>
      </c>
      <c r="J37" s="1228"/>
      <c r="K37" s="1234">
        <v>0</v>
      </c>
      <c r="L37" s="603">
        <v>0</v>
      </c>
      <c r="M37" s="605">
        <f t="shared" si="16"/>
        <v>0</v>
      </c>
      <c r="N37" s="1228"/>
      <c r="O37" s="1234">
        <v>0</v>
      </c>
      <c r="P37" s="603">
        <v>0</v>
      </c>
      <c r="Q37" s="605">
        <f t="shared" si="17"/>
        <v>0</v>
      </c>
      <c r="R37" s="1228"/>
      <c r="S37" s="605">
        <f t="shared" si="18"/>
        <v>0</v>
      </c>
      <c r="T37" s="605">
        <f t="shared" si="19"/>
        <v>0</v>
      </c>
      <c r="U37" s="605">
        <f t="shared" si="20"/>
        <v>0</v>
      </c>
    </row>
    <row r="38" spans="1:21" x14ac:dyDescent="0.35">
      <c r="A38" s="411" t="s">
        <v>250</v>
      </c>
      <c r="B38" s="450" t="s">
        <v>251</v>
      </c>
      <c r="C38" s="1234">
        <v>0</v>
      </c>
      <c r="D38" s="603">
        <v>0</v>
      </c>
      <c r="E38" s="605">
        <f t="shared" si="14"/>
        <v>0</v>
      </c>
      <c r="F38" s="1228"/>
      <c r="G38" s="1234">
        <v>0</v>
      </c>
      <c r="H38" s="603">
        <v>0</v>
      </c>
      <c r="I38" s="605">
        <f t="shared" si="15"/>
        <v>0</v>
      </c>
      <c r="J38" s="1228"/>
      <c r="K38" s="1234">
        <v>0</v>
      </c>
      <c r="L38" s="603">
        <v>0</v>
      </c>
      <c r="M38" s="605">
        <f t="shared" si="16"/>
        <v>0</v>
      </c>
      <c r="N38" s="1228"/>
      <c r="O38" s="1234">
        <v>0</v>
      </c>
      <c r="P38" s="603">
        <v>0</v>
      </c>
      <c r="Q38" s="605">
        <f t="shared" si="17"/>
        <v>0</v>
      </c>
      <c r="R38" s="1228"/>
      <c r="S38" s="605">
        <f t="shared" si="18"/>
        <v>0</v>
      </c>
      <c r="T38" s="605">
        <f t="shared" si="19"/>
        <v>0</v>
      </c>
      <c r="U38" s="605">
        <f t="shared" si="20"/>
        <v>0</v>
      </c>
    </row>
    <row r="39" spans="1:21" x14ac:dyDescent="0.35">
      <c r="A39" s="411" t="s">
        <v>252</v>
      </c>
      <c r="B39" s="450" t="s">
        <v>253</v>
      </c>
      <c r="C39" s="1234">
        <v>0</v>
      </c>
      <c r="D39" s="603">
        <v>0</v>
      </c>
      <c r="E39" s="605">
        <f t="shared" si="14"/>
        <v>0</v>
      </c>
      <c r="F39" s="1228"/>
      <c r="G39" s="1234">
        <v>0</v>
      </c>
      <c r="H39" s="603">
        <v>0</v>
      </c>
      <c r="I39" s="605">
        <f t="shared" si="15"/>
        <v>0</v>
      </c>
      <c r="J39" s="1228"/>
      <c r="K39" s="1234">
        <v>0</v>
      </c>
      <c r="L39" s="603">
        <v>0</v>
      </c>
      <c r="M39" s="605">
        <f t="shared" si="16"/>
        <v>0</v>
      </c>
      <c r="N39" s="1228"/>
      <c r="O39" s="1234">
        <v>0</v>
      </c>
      <c r="P39" s="603">
        <v>0</v>
      </c>
      <c r="Q39" s="605">
        <f t="shared" si="17"/>
        <v>0</v>
      </c>
      <c r="R39" s="1228"/>
      <c r="S39" s="605">
        <f t="shared" si="18"/>
        <v>0</v>
      </c>
      <c r="T39" s="605">
        <f t="shared" si="19"/>
        <v>0</v>
      </c>
      <c r="U39" s="605">
        <f t="shared" si="20"/>
        <v>0</v>
      </c>
    </row>
    <row r="40" spans="1:21" x14ac:dyDescent="0.35">
      <c r="A40" s="411" t="s">
        <v>254</v>
      </c>
      <c r="B40" s="450" t="s">
        <v>255</v>
      </c>
      <c r="C40" s="1234">
        <v>0</v>
      </c>
      <c r="D40" s="603">
        <v>0</v>
      </c>
      <c r="E40" s="605">
        <f t="shared" si="14"/>
        <v>0</v>
      </c>
      <c r="F40" s="1228"/>
      <c r="G40" s="1234">
        <v>0</v>
      </c>
      <c r="H40" s="603">
        <v>0</v>
      </c>
      <c r="I40" s="605">
        <f t="shared" si="15"/>
        <v>0</v>
      </c>
      <c r="J40" s="1228"/>
      <c r="K40" s="1234">
        <v>0</v>
      </c>
      <c r="L40" s="603">
        <v>0</v>
      </c>
      <c r="M40" s="605">
        <f t="shared" si="16"/>
        <v>0</v>
      </c>
      <c r="N40" s="1228"/>
      <c r="O40" s="1234">
        <v>0</v>
      </c>
      <c r="P40" s="603">
        <v>0</v>
      </c>
      <c r="Q40" s="605">
        <f t="shared" si="17"/>
        <v>0</v>
      </c>
      <c r="R40" s="1228"/>
      <c r="S40" s="605">
        <f t="shared" si="18"/>
        <v>0</v>
      </c>
      <c r="T40" s="605">
        <f t="shared" si="19"/>
        <v>0</v>
      </c>
      <c r="U40" s="605">
        <f t="shared" si="20"/>
        <v>0</v>
      </c>
    </row>
    <row r="41" spans="1:21" x14ac:dyDescent="0.35">
      <c r="A41" s="411" t="s">
        <v>256</v>
      </c>
      <c r="B41" s="450" t="s">
        <v>257</v>
      </c>
      <c r="C41" s="1234">
        <v>0</v>
      </c>
      <c r="D41" s="603">
        <v>0</v>
      </c>
      <c r="E41" s="605">
        <f t="shared" si="14"/>
        <v>0</v>
      </c>
      <c r="F41" s="1228"/>
      <c r="G41" s="1234">
        <v>0</v>
      </c>
      <c r="H41" s="603">
        <v>0</v>
      </c>
      <c r="I41" s="605">
        <f t="shared" si="15"/>
        <v>0</v>
      </c>
      <c r="J41" s="1228"/>
      <c r="K41" s="1234">
        <v>0</v>
      </c>
      <c r="L41" s="603">
        <v>0</v>
      </c>
      <c r="M41" s="605">
        <f t="shared" si="16"/>
        <v>0</v>
      </c>
      <c r="N41" s="1228"/>
      <c r="O41" s="1234">
        <v>0</v>
      </c>
      <c r="P41" s="603">
        <v>0</v>
      </c>
      <c r="Q41" s="605">
        <f t="shared" si="17"/>
        <v>0</v>
      </c>
      <c r="R41" s="1228"/>
      <c r="S41" s="605">
        <f t="shared" si="18"/>
        <v>0</v>
      </c>
      <c r="T41" s="605">
        <f t="shared" si="19"/>
        <v>0</v>
      </c>
      <c r="U41" s="605">
        <f t="shared" si="20"/>
        <v>0</v>
      </c>
    </row>
    <row r="42" spans="1:21" x14ac:dyDescent="0.35">
      <c r="A42" s="411" t="s">
        <v>258</v>
      </c>
      <c r="B42" s="450" t="s">
        <v>259</v>
      </c>
      <c r="C42" s="1234">
        <v>0</v>
      </c>
      <c r="D42" s="603">
        <v>0</v>
      </c>
      <c r="E42" s="605">
        <f t="shared" si="14"/>
        <v>0</v>
      </c>
      <c r="F42" s="1228"/>
      <c r="G42" s="1234">
        <v>0</v>
      </c>
      <c r="H42" s="603">
        <v>0</v>
      </c>
      <c r="I42" s="605">
        <f t="shared" si="15"/>
        <v>0</v>
      </c>
      <c r="J42" s="1228"/>
      <c r="K42" s="1234">
        <v>0</v>
      </c>
      <c r="L42" s="603">
        <v>0</v>
      </c>
      <c r="M42" s="605">
        <f t="shared" si="16"/>
        <v>0</v>
      </c>
      <c r="N42" s="1228"/>
      <c r="O42" s="1234">
        <v>0</v>
      </c>
      <c r="P42" s="603">
        <v>0</v>
      </c>
      <c r="Q42" s="605">
        <f t="shared" si="17"/>
        <v>0</v>
      </c>
      <c r="R42" s="1228"/>
      <c r="S42" s="605">
        <f t="shared" si="18"/>
        <v>0</v>
      </c>
      <c r="T42" s="605">
        <f t="shared" si="19"/>
        <v>0</v>
      </c>
      <c r="U42" s="605">
        <f t="shared" si="20"/>
        <v>0</v>
      </c>
    </row>
    <row r="43" spans="1:21" x14ac:dyDescent="0.35">
      <c r="A43" s="411" t="s">
        <v>260</v>
      </c>
      <c r="B43" s="450" t="s">
        <v>261</v>
      </c>
      <c r="C43" s="1234">
        <v>0</v>
      </c>
      <c r="D43" s="603">
        <v>0</v>
      </c>
      <c r="E43" s="605">
        <f t="shared" si="14"/>
        <v>0</v>
      </c>
      <c r="F43" s="1228"/>
      <c r="G43" s="1234">
        <v>0</v>
      </c>
      <c r="H43" s="603">
        <v>0</v>
      </c>
      <c r="I43" s="605">
        <f t="shared" si="15"/>
        <v>0</v>
      </c>
      <c r="J43" s="1228"/>
      <c r="K43" s="1234">
        <v>0</v>
      </c>
      <c r="L43" s="603">
        <v>0</v>
      </c>
      <c r="M43" s="605">
        <f t="shared" si="16"/>
        <v>0</v>
      </c>
      <c r="N43" s="1228"/>
      <c r="O43" s="1234">
        <v>0</v>
      </c>
      <c r="P43" s="603">
        <v>0</v>
      </c>
      <c r="Q43" s="605">
        <f t="shared" si="17"/>
        <v>0</v>
      </c>
      <c r="R43" s="1228"/>
      <c r="S43" s="605">
        <f t="shared" si="18"/>
        <v>0</v>
      </c>
      <c r="T43" s="605">
        <f t="shared" si="19"/>
        <v>0</v>
      </c>
      <c r="U43" s="605">
        <f t="shared" si="20"/>
        <v>0</v>
      </c>
    </row>
    <row r="44" spans="1:21" x14ac:dyDescent="0.35">
      <c r="A44" s="411" t="s">
        <v>262</v>
      </c>
      <c r="B44" s="450" t="s">
        <v>263</v>
      </c>
      <c r="C44" s="1234">
        <v>0</v>
      </c>
      <c r="D44" s="603">
        <v>0</v>
      </c>
      <c r="E44" s="605">
        <f t="shared" si="14"/>
        <v>0</v>
      </c>
      <c r="F44" s="1228"/>
      <c r="G44" s="1234">
        <v>0</v>
      </c>
      <c r="H44" s="603">
        <v>0</v>
      </c>
      <c r="I44" s="605">
        <f t="shared" si="15"/>
        <v>0</v>
      </c>
      <c r="J44" s="1228"/>
      <c r="K44" s="1234">
        <v>0</v>
      </c>
      <c r="L44" s="603">
        <v>0</v>
      </c>
      <c r="M44" s="605">
        <f t="shared" si="16"/>
        <v>0</v>
      </c>
      <c r="N44" s="1228"/>
      <c r="O44" s="1234">
        <v>0</v>
      </c>
      <c r="P44" s="603">
        <v>0</v>
      </c>
      <c r="Q44" s="605">
        <f t="shared" si="17"/>
        <v>0</v>
      </c>
      <c r="R44" s="1228"/>
      <c r="S44" s="605">
        <f t="shared" si="18"/>
        <v>0</v>
      </c>
      <c r="T44" s="605">
        <f t="shared" si="19"/>
        <v>0</v>
      </c>
      <c r="U44" s="605">
        <f t="shared" si="20"/>
        <v>0</v>
      </c>
    </row>
    <row r="45" spans="1:21" x14ac:dyDescent="0.35">
      <c r="A45" s="411" t="s">
        <v>264</v>
      </c>
      <c r="B45" s="450" t="s">
        <v>265</v>
      </c>
      <c r="C45" s="1234">
        <v>0</v>
      </c>
      <c r="D45" s="603">
        <v>0</v>
      </c>
      <c r="E45" s="605">
        <f t="shared" si="14"/>
        <v>0</v>
      </c>
      <c r="F45" s="1228"/>
      <c r="G45" s="1234">
        <v>0</v>
      </c>
      <c r="H45" s="603">
        <v>0</v>
      </c>
      <c r="I45" s="605">
        <f t="shared" si="15"/>
        <v>0</v>
      </c>
      <c r="J45" s="1228"/>
      <c r="K45" s="1234">
        <v>0</v>
      </c>
      <c r="L45" s="603">
        <v>0</v>
      </c>
      <c r="M45" s="605">
        <f t="shared" si="16"/>
        <v>0</v>
      </c>
      <c r="N45" s="1228"/>
      <c r="O45" s="1234">
        <v>0</v>
      </c>
      <c r="P45" s="603">
        <v>0</v>
      </c>
      <c r="Q45" s="605">
        <f t="shared" si="17"/>
        <v>0</v>
      </c>
      <c r="R45" s="1228"/>
      <c r="S45" s="605">
        <f t="shared" si="18"/>
        <v>0</v>
      </c>
      <c r="T45" s="605">
        <f t="shared" si="19"/>
        <v>0</v>
      </c>
      <c r="U45" s="605">
        <f t="shared" si="20"/>
        <v>0</v>
      </c>
    </row>
    <row r="46" spans="1:21" ht="15" thickBot="1" x14ac:dyDescent="0.4">
      <c r="A46" s="411" t="s">
        <v>266</v>
      </c>
      <c r="B46" s="450" t="s">
        <v>267</v>
      </c>
      <c r="C46" s="1236">
        <v>0</v>
      </c>
      <c r="D46" s="603">
        <v>0</v>
      </c>
      <c r="E46" s="605">
        <f t="shared" si="14"/>
        <v>0</v>
      </c>
      <c r="F46" s="1228"/>
      <c r="G46" s="1236">
        <v>0</v>
      </c>
      <c r="H46" s="603">
        <v>0</v>
      </c>
      <c r="I46" s="605">
        <f t="shared" si="15"/>
        <v>0</v>
      </c>
      <c r="J46" s="1228"/>
      <c r="K46" s="1236">
        <v>0</v>
      </c>
      <c r="L46" s="603">
        <v>0</v>
      </c>
      <c r="M46" s="605">
        <f t="shared" si="16"/>
        <v>0</v>
      </c>
      <c r="N46" s="1228"/>
      <c r="O46" s="1236">
        <v>0</v>
      </c>
      <c r="P46" s="603">
        <v>0</v>
      </c>
      <c r="Q46" s="605">
        <f t="shared" si="17"/>
        <v>0</v>
      </c>
      <c r="R46" s="1228"/>
      <c r="S46" s="605">
        <f t="shared" si="18"/>
        <v>0</v>
      </c>
      <c r="T46" s="605">
        <f t="shared" si="19"/>
        <v>0</v>
      </c>
      <c r="U46" s="605">
        <f t="shared" si="20"/>
        <v>0</v>
      </c>
    </row>
    <row r="47" spans="1:21" ht="15" thickBot="1" x14ac:dyDescent="0.4">
      <c r="A47" s="421" t="s">
        <v>268</v>
      </c>
      <c r="B47" s="610" t="s">
        <v>269</v>
      </c>
      <c r="C47" s="1230">
        <f>SUM(C32:C46)</f>
        <v>0</v>
      </c>
      <c r="D47" s="1231">
        <f>SUM(D32:D46)</f>
        <v>0</v>
      </c>
      <c r="E47" s="612">
        <f t="shared" si="14"/>
        <v>0</v>
      </c>
      <c r="F47" s="1232"/>
      <c r="G47" s="1230">
        <f>SUM(G32:G46)</f>
        <v>0</v>
      </c>
      <c r="H47" s="1231">
        <f>SUM(H32:H46)</f>
        <v>0</v>
      </c>
      <c r="I47" s="612">
        <f t="shared" si="15"/>
        <v>0</v>
      </c>
      <c r="J47" s="1232"/>
      <c r="K47" s="1230">
        <f>SUM(K32:K46)</f>
        <v>0</v>
      </c>
      <c r="L47" s="1231">
        <f>SUM(L32:L46)</f>
        <v>0</v>
      </c>
      <c r="M47" s="612">
        <f t="shared" si="16"/>
        <v>0</v>
      </c>
      <c r="N47" s="1232"/>
      <c r="O47" s="1230">
        <f>SUM(O32:O46)</f>
        <v>0</v>
      </c>
      <c r="P47" s="1231">
        <f>SUM(P32:P46)</f>
        <v>0</v>
      </c>
      <c r="Q47" s="612">
        <f t="shared" si="17"/>
        <v>0</v>
      </c>
      <c r="R47" s="1232"/>
      <c r="S47" s="612">
        <f t="shared" si="18"/>
        <v>0</v>
      </c>
      <c r="T47" s="612">
        <f t="shared" si="19"/>
        <v>0</v>
      </c>
      <c r="U47" s="612">
        <f t="shared" si="20"/>
        <v>0</v>
      </c>
    </row>
    <row r="48" spans="1:21" x14ac:dyDescent="0.35">
      <c r="A48" s="399" t="s">
        <v>270</v>
      </c>
      <c r="B48" s="538"/>
      <c r="C48" s="1235"/>
      <c r="D48" s="1225"/>
      <c r="E48" s="605"/>
      <c r="F48" s="1226"/>
      <c r="G48" s="1235"/>
      <c r="H48" s="1225"/>
      <c r="I48" s="605"/>
      <c r="J48" s="1226"/>
      <c r="K48" s="1235"/>
      <c r="L48" s="1225"/>
      <c r="M48" s="605"/>
      <c r="N48" s="1226"/>
      <c r="O48" s="1235"/>
      <c r="P48" s="1225"/>
      <c r="Q48" s="605"/>
      <c r="R48" s="1226"/>
      <c r="S48" s="605"/>
      <c r="T48" s="605"/>
      <c r="U48" s="605"/>
    </row>
    <row r="49" spans="1:21" x14ac:dyDescent="0.35">
      <c r="A49" s="411" t="s">
        <v>271</v>
      </c>
      <c r="B49" s="450" t="s">
        <v>272</v>
      </c>
      <c r="C49" s="1234">
        <v>0</v>
      </c>
      <c r="D49" s="603">
        <v>0</v>
      </c>
      <c r="E49" s="605">
        <f t="shared" ref="E49:E64" si="21">C49+D49</f>
        <v>0</v>
      </c>
      <c r="F49" s="1228"/>
      <c r="G49" s="1234">
        <v>0</v>
      </c>
      <c r="H49" s="603">
        <v>0</v>
      </c>
      <c r="I49" s="605">
        <f t="shared" ref="I49:I64" si="22">G49+H49</f>
        <v>0</v>
      </c>
      <c r="J49" s="1228"/>
      <c r="K49" s="1234">
        <v>0</v>
      </c>
      <c r="L49" s="603">
        <v>0</v>
      </c>
      <c r="M49" s="605">
        <f t="shared" ref="M49:M64" si="23">K49+L49</f>
        <v>0</v>
      </c>
      <c r="N49" s="1228"/>
      <c r="O49" s="1234">
        <v>0</v>
      </c>
      <c r="P49" s="603">
        <v>0</v>
      </c>
      <c r="Q49" s="605">
        <f t="shared" ref="Q49:Q64" si="24">O49+P49</f>
        <v>0</v>
      </c>
      <c r="R49" s="1228"/>
      <c r="S49" s="605">
        <f t="shared" ref="S49:S64" si="25">C49+G49+K49+O49</f>
        <v>0</v>
      </c>
      <c r="T49" s="605">
        <f t="shared" ref="T49:T64" si="26">D49+H49+L49+P49</f>
        <v>0</v>
      </c>
      <c r="U49" s="605">
        <f t="shared" ref="U49:U64" si="27">S49+T49</f>
        <v>0</v>
      </c>
    </row>
    <row r="50" spans="1:21" x14ac:dyDescent="0.35">
      <c r="A50" s="411" t="s">
        <v>273</v>
      </c>
      <c r="B50" s="450" t="s">
        <v>274</v>
      </c>
      <c r="C50" s="1234">
        <v>0</v>
      </c>
      <c r="D50" s="603">
        <v>0</v>
      </c>
      <c r="E50" s="605">
        <f t="shared" si="21"/>
        <v>0</v>
      </c>
      <c r="F50" s="1228"/>
      <c r="G50" s="1234">
        <v>0</v>
      </c>
      <c r="H50" s="603">
        <v>0</v>
      </c>
      <c r="I50" s="605">
        <f t="shared" si="22"/>
        <v>0</v>
      </c>
      <c r="J50" s="1228"/>
      <c r="K50" s="1234">
        <v>0</v>
      </c>
      <c r="L50" s="603">
        <v>0</v>
      </c>
      <c r="M50" s="605">
        <f t="shared" si="23"/>
        <v>0</v>
      </c>
      <c r="N50" s="1228"/>
      <c r="O50" s="1234">
        <v>0</v>
      </c>
      <c r="P50" s="603">
        <v>0</v>
      </c>
      <c r="Q50" s="605">
        <f t="shared" si="24"/>
        <v>0</v>
      </c>
      <c r="R50" s="1228"/>
      <c r="S50" s="605">
        <f t="shared" si="25"/>
        <v>0</v>
      </c>
      <c r="T50" s="605">
        <f t="shared" si="26"/>
        <v>0</v>
      </c>
      <c r="U50" s="605">
        <f t="shared" si="27"/>
        <v>0</v>
      </c>
    </row>
    <row r="51" spans="1:21" x14ac:dyDescent="0.35">
      <c r="A51" s="411" t="s">
        <v>275</v>
      </c>
      <c r="B51" s="450" t="s">
        <v>276</v>
      </c>
      <c r="C51" s="1234">
        <v>0</v>
      </c>
      <c r="D51" s="603">
        <v>0</v>
      </c>
      <c r="E51" s="605">
        <f t="shared" si="21"/>
        <v>0</v>
      </c>
      <c r="F51" s="1228"/>
      <c r="G51" s="1234">
        <v>0</v>
      </c>
      <c r="H51" s="603">
        <v>0</v>
      </c>
      <c r="I51" s="605">
        <f t="shared" si="22"/>
        <v>0</v>
      </c>
      <c r="J51" s="1228"/>
      <c r="K51" s="1234">
        <v>0</v>
      </c>
      <c r="L51" s="603">
        <v>0</v>
      </c>
      <c r="M51" s="605">
        <f t="shared" si="23"/>
        <v>0</v>
      </c>
      <c r="N51" s="1228"/>
      <c r="O51" s="1234">
        <v>0</v>
      </c>
      <c r="P51" s="603">
        <v>0</v>
      </c>
      <c r="Q51" s="605">
        <f t="shared" si="24"/>
        <v>0</v>
      </c>
      <c r="R51" s="1228"/>
      <c r="S51" s="605">
        <f t="shared" si="25"/>
        <v>0</v>
      </c>
      <c r="T51" s="605">
        <f t="shared" si="26"/>
        <v>0</v>
      </c>
      <c r="U51" s="605">
        <f t="shared" si="27"/>
        <v>0</v>
      </c>
    </row>
    <row r="52" spans="1:21" x14ac:dyDescent="0.35">
      <c r="A52" s="411" t="s">
        <v>277</v>
      </c>
      <c r="B52" s="450" t="s">
        <v>278</v>
      </c>
      <c r="C52" s="1234">
        <v>0</v>
      </c>
      <c r="D52" s="603">
        <v>0</v>
      </c>
      <c r="E52" s="605">
        <f t="shared" si="21"/>
        <v>0</v>
      </c>
      <c r="F52" s="1228"/>
      <c r="G52" s="1234">
        <v>0</v>
      </c>
      <c r="H52" s="603">
        <v>0</v>
      </c>
      <c r="I52" s="605">
        <f t="shared" si="22"/>
        <v>0</v>
      </c>
      <c r="J52" s="1228"/>
      <c r="K52" s="1234">
        <v>0</v>
      </c>
      <c r="L52" s="603">
        <v>0</v>
      </c>
      <c r="M52" s="605">
        <f t="shared" si="23"/>
        <v>0</v>
      </c>
      <c r="N52" s="1228"/>
      <c r="O52" s="1234">
        <v>0</v>
      </c>
      <c r="P52" s="603">
        <v>0</v>
      </c>
      <c r="Q52" s="605">
        <f t="shared" si="24"/>
        <v>0</v>
      </c>
      <c r="R52" s="1228"/>
      <c r="S52" s="605">
        <f t="shared" si="25"/>
        <v>0</v>
      </c>
      <c r="T52" s="605">
        <f t="shared" si="26"/>
        <v>0</v>
      </c>
      <c r="U52" s="605">
        <f t="shared" si="27"/>
        <v>0</v>
      </c>
    </row>
    <row r="53" spans="1:21" x14ac:dyDescent="0.35">
      <c r="A53" s="411" t="s">
        <v>279</v>
      </c>
      <c r="B53" s="450" t="s">
        <v>280</v>
      </c>
      <c r="C53" s="1234">
        <v>0</v>
      </c>
      <c r="D53" s="603">
        <v>0</v>
      </c>
      <c r="E53" s="605">
        <f t="shared" si="21"/>
        <v>0</v>
      </c>
      <c r="F53" s="1228"/>
      <c r="G53" s="1234">
        <v>0</v>
      </c>
      <c r="H53" s="603">
        <v>0</v>
      </c>
      <c r="I53" s="605">
        <f t="shared" si="22"/>
        <v>0</v>
      </c>
      <c r="J53" s="1228"/>
      <c r="K53" s="1234">
        <v>0</v>
      </c>
      <c r="L53" s="603">
        <v>0</v>
      </c>
      <c r="M53" s="605">
        <f t="shared" si="23"/>
        <v>0</v>
      </c>
      <c r="N53" s="1228"/>
      <c r="O53" s="1234">
        <v>0</v>
      </c>
      <c r="P53" s="603">
        <v>0</v>
      </c>
      <c r="Q53" s="605">
        <f t="shared" si="24"/>
        <v>0</v>
      </c>
      <c r="R53" s="1228"/>
      <c r="S53" s="605">
        <f t="shared" si="25"/>
        <v>0</v>
      </c>
      <c r="T53" s="605">
        <f t="shared" si="26"/>
        <v>0</v>
      </c>
      <c r="U53" s="605">
        <f t="shared" si="27"/>
        <v>0</v>
      </c>
    </row>
    <row r="54" spans="1:21" x14ac:dyDescent="0.35">
      <c r="A54" s="411" t="s">
        <v>281</v>
      </c>
      <c r="B54" s="450" t="s">
        <v>282</v>
      </c>
      <c r="C54" s="1234">
        <v>0</v>
      </c>
      <c r="D54" s="603">
        <v>0</v>
      </c>
      <c r="E54" s="605">
        <f t="shared" si="21"/>
        <v>0</v>
      </c>
      <c r="F54" s="1228"/>
      <c r="G54" s="1234">
        <v>0</v>
      </c>
      <c r="H54" s="603">
        <v>0</v>
      </c>
      <c r="I54" s="605">
        <f t="shared" si="22"/>
        <v>0</v>
      </c>
      <c r="J54" s="1228"/>
      <c r="K54" s="1234">
        <v>0</v>
      </c>
      <c r="L54" s="603">
        <v>0</v>
      </c>
      <c r="M54" s="605">
        <f t="shared" si="23"/>
        <v>0</v>
      </c>
      <c r="N54" s="1228"/>
      <c r="O54" s="1234">
        <v>0</v>
      </c>
      <c r="P54" s="603">
        <v>0</v>
      </c>
      <c r="Q54" s="605">
        <f t="shared" si="24"/>
        <v>0</v>
      </c>
      <c r="R54" s="1228"/>
      <c r="S54" s="605">
        <f t="shared" si="25"/>
        <v>0</v>
      </c>
      <c r="T54" s="605">
        <f t="shared" si="26"/>
        <v>0</v>
      </c>
      <c r="U54" s="605">
        <f t="shared" si="27"/>
        <v>0</v>
      </c>
    </row>
    <row r="55" spans="1:21" x14ac:dyDescent="0.35">
      <c r="A55" s="411" t="s">
        <v>283</v>
      </c>
      <c r="B55" s="450" t="s">
        <v>284</v>
      </c>
      <c r="C55" s="1234">
        <v>0</v>
      </c>
      <c r="D55" s="603">
        <v>0</v>
      </c>
      <c r="E55" s="605">
        <f t="shared" si="21"/>
        <v>0</v>
      </c>
      <c r="F55" s="1228"/>
      <c r="G55" s="1234">
        <v>0</v>
      </c>
      <c r="H55" s="603">
        <v>0</v>
      </c>
      <c r="I55" s="605">
        <f t="shared" si="22"/>
        <v>0</v>
      </c>
      <c r="J55" s="1228"/>
      <c r="K55" s="1234">
        <v>0</v>
      </c>
      <c r="L55" s="603">
        <v>0</v>
      </c>
      <c r="M55" s="605">
        <f t="shared" si="23"/>
        <v>0</v>
      </c>
      <c r="N55" s="1228"/>
      <c r="O55" s="1234">
        <v>0</v>
      </c>
      <c r="P55" s="603">
        <v>0</v>
      </c>
      <c r="Q55" s="605">
        <f t="shared" si="24"/>
        <v>0</v>
      </c>
      <c r="R55" s="1228"/>
      <c r="S55" s="605">
        <f t="shared" si="25"/>
        <v>0</v>
      </c>
      <c r="T55" s="605">
        <f t="shared" si="26"/>
        <v>0</v>
      </c>
      <c r="U55" s="605">
        <f t="shared" si="27"/>
        <v>0</v>
      </c>
    </row>
    <row r="56" spans="1:21" x14ac:dyDescent="0.35">
      <c r="A56" s="411" t="s">
        <v>285</v>
      </c>
      <c r="B56" s="450" t="s">
        <v>286</v>
      </c>
      <c r="C56" s="1234">
        <v>0</v>
      </c>
      <c r="D56" s="603">
        <v>0</v>
      </c>
      <c r="E56" s="605">
        <f t="shared" si="21"/>
        <v>0</v>
      </c>
      <c r="F56" s="1228"/>
      <c r="G56" s="1234">
        <v>0</v>
      </c>
      <c r="H56" s="603">
        <v>0</v>
      </c>
      <c r="I56" s="605">
        <f t="shared" si="22"/>
        <v>0</v>
      </c>
      <c r="J56" s="1228"/>
      <c r="K56" s="1234">
        <v>0</v>
      </c>
      <c r="L56" s="603">
        <v>0</v>
      </c>
      <c r="M56" s="605">
        <f t="shared" si="23"/>
        <v>0</v>
      </c>
      <c r="N56" s="1228"/>
      <c r="O56" s="1234">
        <v>0</v>
      </c>
      <c r="P56" s="603">
        <v>0</v>
      </c>
      <c r="Q56" s="605">
        <f t="shared" si="24"/>
        <v>0</v>
      </c>
      <c r="R56" s="1228"/>
      <c r="S56" s="605">
        <f t="shared" si="25"/>
        <v>0</v>
      </c>
      <c r="T56" s="605">
        <f t="shared" si="26"/>
        <v>0</v>
      </c>
      <c r="U56" s="605">
        <f t="shared" si="27"/>
        <v>0</v>
      </c>
    </row>
    <row r="57" spans="1:21" x14ac:dyDescent="0.35">
      <c r="A57" s="411" t="s">
        <v>287</v>
      </c>
      <c r="B57" s="622" t="s">
        <v>288</v>
      </c>
      <c r="C57" s="1234">
        <v>0</v>
      </c>
      <c r="D57" s="603">
        <v>0</v>
      </c>
      <c r="E57" s="605">
        <f t="shared" si="21"/>
        <v>0</v>
      </c>
      <c r="F57" s="1228"/>
      <c r="G57" s="1234">
        <v>0</v>
      </c>
      <c r="H57" s="603">
        <v>0</v>
      </c>
      <c r="I57" s="605">
        <f t="shared" si="22"/>
        <v>0</v>
      </c>
      <c r="J57" s="1228"/>
      <c r="K57" s="1234">
        <v>0</v>
      </c>
      <c r="L57" s="603">
        <v>0</v>
      </c>
      <c r="M57" s="605">
        <f t="shared" si="23"/>
        <v>0</v>
      </c>
      <c r="N57" s="1228"/>
      <c r="O57" s="1234">
        <v>0</v>
      </c>
      <c r="P57" s="603">
        <v>0</v>
      </c>
      <c r="Q57" s="605">
        <f t="shared" si="24"/>
        <v>0</v>
      </c>
      <c r="R57" s="1228"/>
      <c r="S57" s="605">
        <f t="shared" si="25"/>
        <v>0</v>
      </c>
      <c r="T57" s="605">
        <f t="shared" si="26"/>
        <v>0</v>
      </c>
      <c r="U57" s="605">
        <f t="shared" si="27"/>
        <v>0</v>
      </c>
    </row>
    <row r="58" spans="1:21" x14ac:dyDescent="0.35">
      <c r="A58" s="411" t="s">
        <v>289</v>
      </c>
      <c r="B58" s="450" t="s">
        <v>290</v>
      </c>
      <c r="C58" s="1234">
        <v>0</v>
      </c>
      <c r="D58" s="603">
        <v>0</v>
      </c>
      <c r="E58" s="605">
        <f t="shared" si="21"/>
        <v>0</v>
      </c>
      <c r="F58" s="1228"/>
      <c r="G58" s="1234">
        <v>0</v>
      </c>
      <c r="H58" s="603">
        <v>0</v>
      </c>
      <c r="I58" s="605">
        <f t="shared" si="22"/>
        <v>0</v>
      </c>
      <c r="J58" s="1228"/>
      <c r="K58" s="1234">
        <v>0</v>
      </c>
      <c r="L58" s="603">
        <v>0</v>
      </c>
      <c r="M58" s="605">
        <f t="shared" si="23"/>
        <v>0</v>
      </c>
      <c r="N58" s="1228"/>
      <c r="O58" s="1234">
        <v>0</v>
      </c>
      <c r="P58" s="603">
        <v>0</v>
      </c>
      <c r="Q58" s="605">
        <f t="shared" si="24"/>
        <v>0</v>
      </c>
      <c r="R58" s="1228"/>
      <c r="S58" s="605">
        <f t="shared" si="25"/>
        <v>0</v>
      </c>
      <c r="T58" s="605">
        <f t="shared" si="26"/>
        <v>0</v>
      </c>
      <c r="U58" s="605">
        <f t="shared" si="27"/>
        <v>0</v>
      </c>
    </row>
    <row r="59" spans="1:21" x14ac:dyDescent="0.35">
      <c r="A59" s="411" t="s">
        <v>291</v>
      </c>
      <c r="B59" s="450" t="s">
        <v>292</v>
      </c>
      <c r="C59" s="1234">
        <v>0</v>
      </c>
      <c r="D59" s="603">
        <v>0</v>
      </c>
      <c r="E59" s="605">
        <f t="shared" si="21"/>
        <v>0</v>
      </c>
      <c r="F59" s="1228"/>
      <c r="G59" s="1234">
        <v>0</v>
      </c>
      <c r="H59" s="603">
        <v>0</v>
      </c>
      <c r="I59" s="605">
        <f t="shared" si="22"/>
        <v>0</v>
      </c>
      <c r="J59" s="1228"/>
      <c r="K59" s="1234">
        <v>0</v>
      </c>
      <c r="L59" s="603">
        <v>0</v>
      </c>
      <c r="M59" s="605">
        <f t="shared" si="23"/>
        <v>0</v>
      </c>
      <c r="N59" s="1228"/>
      <c r="O59" s="1234">
        <v>0</v>
      </c>
      <c r="P59" s="603">
        <v>0</v>
      </c>
      <c r="Q59" s="605">
        <f t="shared" si="24"/>
        <v>0</v>
      </c>
      <c r="R59" s="1228"/>
      <c r="S59" s="605">
        <f t="shared" si="25"/>
        <v>0</v>
      </c>
      <c r="T59" s="605">
        <f t="shared" si="26"/>
        <v>0</v>
      </c>
      <c r="U59" s="605">
        <f t="shared" si="27"/>
        <v>0</v>
      </c>
    </row>
    <row r="60" spans="1:21" x14ac:dyDescent="0.35">
      <c r="A60" s="411" t="s">
        <v>293</v>
      </c>
      <c r="B60" s="450" t="s">
        <v>294</v>
      </c>
      <c r="C60" s="1234">
        <v>0</v>
      </c>
      <c r="D60" s="603">
        <v>0</v>
      </c>
      <c r="E60" s="605">
        <f t="shared" si="21"/>
        <v>0</v>
      </c>
      <c r="F60" s="1228"/>
      <c r="G60" s="1234">
        <v>0</v>
      </c>
      <c r="H60" s="603">
        <v>0</v>
      </c>
      <c r="I60" s="605">
        <f t="shared" si="22"/>
        <v>0</v>
      </c>
      <c r="J60" s="1228"/>
      <c r="K60" s="1234">
        <v>0</v>
      </c>
      <c r="L60" s="603">
        <v>0</v>
      </c>
      <c r="M60" s="605">
        <f t="shared" si="23"/>
        <v>0</v>
      </c>
      <c r="N60" s="1228"/>
      <c r="O60" s="1234">
        <v>0</v>
      </c>
      <c r="P60" s="603">
        <v>0</v>
      </c>
      <c r="Q60" s="605">
        <f t="shared" si="24"/>
        <v>0</v>
      </c>
      <c r="R60" s="1228"/>
      <c r="S60" s="605">
        <f t="shared" si="25"/>
        <v>0</v>
      </c>
      <c r="T60" s="605">
        <f t="shared" si="26"/>
        <v>0</v>
      </c>
      <c r="U60" s="605">
        <f t="shared" si="27"/>
        <v>0</v>
      </c>
    </row>
    <row r="61" spans="1:21" x14ac:dyDescent="0.35">
      <c r="A61" s="411" t="s">
        <v>295</v>
      </c>
      <c r="B61" s="450" t="s">
        <v>296</v>
      </c>
      <c r="C61" s="1234">
        <v>0</v>
      </c>
      <c r="D61" s="603">
        <v>0</v>
      </c>
      <c r="E61" s="605">
        <f t="shared" si="21"/>
        <v>0</v>
      </c>
      <c r="F61" s="1228"/>
      <c r="G61" s="1234">
        <v>0</v>
      </c>
      <c r="H61" s="603">
        <v>0</v>
      </c>
      <c r="I61" s="605">
        <f t="shared" si="22"/>
        <v>0</v>
      </c>
      <c r="J61" s="1228"/>
      <c r="K61" s="1234">
        <v>0</v>
      </c>
      <c r="L61" s="603">
        <v>0</v>
      </c>
      <c r="M61" s="605">
        <f t="shared" si="23"/>
        <v>0</v>
      </c>
      <c r="N61" s="1228"/>
      <c r="O61" s="1234">
        <v>0</v>
      </c>
      <c r="P61" s="603">
        <v>0</v>
      </c>
      <c r="Q61" s="605">
        <f t="shared" si="24"/>
        <v>0</v>
      </c>
      <c r="R61" s="1228"/>
      <c r="S61" s="605">
        <f t="shared" si="25"/>
        <v>0</v>
      </c>
      <c r="T61" s="605">
        <f t="shared" si="26"/>
        <v>0</v>
      </c>
      <c r="U61" s="605">
        <f t="shared" si="27"/>
        <v>0</v>
      </c>
    </row>
    <row r="62" spans="1:21" x14ac:dyDescent="0.35">
      <c r="A62" s="411" t="s">
        <v>297</v>
      </c>
      <c r="B62" s="450" t="s">
        <v>298</v>
      </c>
      <c r="C62" s="1234">
        <v>0</v>
      </c>
      <c r="D62" s="603">
        <v>0</v>
      </c>
      <c r="E62" s="605">
        <f t="shared" si="21"/>
        <v>0</v>
      </c>
      <c r="F62" s="1228"/>
      <c r="G62" s="1234">
        <v>0</v>
      </c>
      <c r="H62" s="603">
        <v>0</v>
      </c>
      <c r="I62" s="605">
        <f t="shared" si="22"/>
        <v>0</v>
      </c>
      <c r="J62" s="1228"/>
      <c r="K62" s="1234">
        <v>0</v>
      </c>
      <c r="L62" s="603">
        <v>0</v>
      </c>
      <c r="M62" s="605">
        <f t="shared" si="23"/>
        <v>0</v>
      </c>
      <c r="N62" s="1228"/>
      <c r="O62" s="1234">
        <v>0</v>
      </c>
      <c r="P62" s="603">
        <v>0</v>
      </c>
      <c r="Q62" s="605">
        <f t="shared" si="24"/>
        <v>0</v>
      </c>
      <c r="R62" s="1228"/>
      <c r="S62" s="605">
        <f t="shared" si="25"/>
        <v>0</v>
      </c>
      <c r="T62" s="605">
        <f t="shared" si="26"/>
        <v>0</v>
      </c>
      <c r="U62" s="605">
        <f t="shared" si="27"/>
        <v>0</v>
      </c>
    </row>
    <row r="63" spans="1:21" ht="15" thickBot="1" x14ac:dyDescent="0.4">
      <c r="A63" s="411" t="s">
        <v>299</v>
      </c>
      <c r="B63" s="450" t="s">
        <v>300</v>
      </c>
      <c r="C63" s="1236">
        <v>0</v>
      </c>
      <c r="D63" s="603">
        <v>0</v>
      </c>
      <c r="E63" s="605">
        <f t="shared" si="21"/>
        <v>0</v>
      </c>
      <c r="F63" s="1228"/>
      <c r="G63" s="1236">
        <v>0</v>
      </c>
      <c r="H63" s="603">
        <v>0</v>
      </c>
      <c r="I63" s="605">
        <f t="shared" si="22"/>
        <v>0</v>
      </c>
      <c r="J63" s="1228"/>
      <c r="K63" s="1236">
        <v>0</v>
      </c>
      <c r="L63" s="603">
        <v>0</v>
      </c>
      <c r="M63" s="605">
        <f t="shared" si="23"/>
        <v>0</v>
      </c>
      <c r="N63" s="1228"/>
      <c r="O63" s="1236">
        <v>0</v>
      </c>
      <c r="P63" s="603">
        <v>0</v>
      </c>
      <c r="Q63" s="605">
        <f t="shared" si="24"/>
        <v>0</v>
      </c>
      <c r="R63" s="1228"/>
      <c r="S63" s="605">
        <f t="shared" si="25"/>
        <v>0</v>
      </c>
      <c r="T63" s="605">
        <f t="shared" si="26"/>
        <v>0</v>
      </c>
      <c r="U63" s="605">
        <f t="shared" si="27"/>
        <v>0</v>
      </c>
    </row>
    <row r="64" spans="1:21" ht="15" thickBot="1" x14ac:dyDescent="0.4">
      <c r="A64" s="421">
        <v>50389</v>
      </c>
      <c r="B64" s="610" t="s">
        <v>301</v>
      </c>
      <c r="C64" s="1230">
        <f>SUM(C49:C63)</f>
        <v>0</v>
      </c>
      <c r="D64" s="1231">
        <f>SUM(D49:D63)</f>
        <v>0</v>
      </c>
      <c r="E64" s="612">
        <f t="shared" si="21"/>
        <v>0</v>
      </c>
      <c r="F64" s="1232"/>
      <c r="G64" s="1230">
        <f>SUM(G49:G63)</f>
        <v>0</v>
      </c>
      <c r="H64" s="1231">
        <f>SUM(H49:H63)</f>
        <v>0</v>
      </c>
      <c r="I64" s="612">
        <f t="shared" si="22"/>
        <v>0</v>
      </c>
      <c r="J64" s="1232"/>
      <c r="K64" s="1230">
        <f>SUM(K49:K63)</f>
        <v>0</v>
      </c>
      <c r="L64" s="1231">
        <f>SUM(L49:L63)</f>
        <v>0</v>
      </c>
      <c r="M64" s="612">
        <f t="shared" si="23"/>
        <v>0</v>
      </c>
      <c r="N64" s="1232"/>
      <c r="O64" s="1230">
        <f>SUM(O49:O63)</f>
        <v>0</v>
      </c>
      <c r="P64" s="1231">
        <f>SUM(P49:P63)</f>
        <v>0</v>
      </c>
      <c r="Q64" s="612">
        <f t="shared" si="24"/>
        <v>0</v>
      </c>
      <c r="R64" s="1232"/>
      <c r="S64" s="612">
        <f t="shared" si="25"/>
        <v>0</v>
      </c>
      <c r="T64" s="612">
        <f t="shared" si="26"/>
        <v>0</v>
      </c>
      <c r="U64" s="612">
        <f t="shared" si="27"/>
        <v>0</v>
      </c>
    </row>
    <row r="65" spans="1:21" x14ac:dyDescent="0.35">
      <c r="A65" s="399" t="s">
        <v>302</v>
      </c>
      <c r="B65" s="538"/>
      <c r="C65" s="1235"/>
      <c r="D65" s="1225"/>
      <c r="E65" s="605"/>
      <c r="F65" s="1226"/>
      <c r="G65" s="1235"/>
      <c r="H65" s="1225"/>
      <c r="I65" s="605"/>
      <c r="J65" s="1226"/>
      <c r="K65" s="1235"/>
      <c r="L65" s="1225"/>
      <c r="M65" s="605"/>
      <c r="N65" s="1226"/>
      <c r="O65" s="1235"/>
      <c r="P65" s="1225"/>
      <c r="Q65" s="605"/>
      <c r="R65" s="1226"/>
      <c r="S65" s="605"/>
      <c r="T65" s="605"/>
      <c r="U65" s="605"/>
    </row>
    <row r="66" spans="1:21" x14ac:dyDescent="0.35">
      <c r="A66" s="411" t="s">
        <v>303</v>
      </c>
      <c r="B66" s="450" t="s">
        <v>304</v>
      </c>
      <c r="C66" s="1234">
        <v>0</v>
      </c>
      <c r="D66" s="603">
        <v>0</v>
      </c>
      <c r="E66" s="605">
        <f t="shared" ref="E66:E87" si="28">C66+D66</f>
        <v>0</v>
      </c>
      <c r="F66" s="1228"/>
      <c r="G66" s="1234">
        <v>0</v>
      </c>
      <c r="H66" s="603">
        <v>0</v>
      </c>
      <c r="I66" s="605">
        <f t="shared" ref="I66:I87" si="29">G66+H66</f>
        <v>0</v>
      </c>
      <c r="J66" s="1228"/>
      <c r="K66" s="1234">
        <v>0</v>
      </c>
      <c r="L66" s="603">
        <v>0</v>
      </c>
      <c r="M66" s="605">
        <f t="shared" ref="M66:M87" si="30">K66+L66</f>
        <v>0</v>
      </c>
      <c r="N66" s="1228"/>
      <c r="O66" s="1234">
        <v>0</v>
      </c>
      <c r="P66" s="603">
        <v>0</v>
      </c>
      <c r="Q66" s="605">
        <f t="shared" ref="Q66:Q87" si="31">O66+P66</f>
        <v>0</v>
      </c>
      <c r="R66" s="1228"/>
      <c r="S66" s="605">
        <f t="shared" ref="S66:S87" si="32">C66+G66+K66+O66</f>
        <v>0</v>
      </c>
      <c r="T66" s="605">
        <f t="shared" ref="T66:T88" si="33">D66+H66+L66+P66</f>
        <v>0</v>
      </c>
      <c r="U66" s="605">
        <f t="shared" ref="U66:U87" si="34">S66+T66</f>
        <v>0</v>
      </c>
    </row>
    <row r="67" spans="1:21" x14ac:dyDescent="0.35">
      <c r="A67" s="411" t="s">
        <v>305</v>
      </c>
      <c r="B67" s="450" t="s">
        <v>306</v>
      </c>
      <c r="C67" s="1234">
        <v>0</v>
      </c>
      <c r="D67" s="603">
        <v>0</v>
      </c>
      <c r="E67" s="605">
        <f t="shared" si="28"/>
        <v>0</v>
      </c>
      <c r="F67" s="1228"/>
      <c r="G67" s="1234">
        <v>0</v>
      </c>
      <c r="H67" s="603">
        <v>0</v>
      </c>
      <c r="I67" s="605">
        <f t="shared" si="29"/>
        <v>0</v>
      </c>
      <c r="J67" s="1228"/>
      <c r="K67" s="1234">
        <v>0</v>
      </c>
      <c r="L67" s="603">
        <v>0</v>
      </c>
      <c r="M67" s="605">
        <f t="shared" si="30"/>
        <v>0</v>
      </c>
      <c r="N67" s="1228"/>
      <c r="O67" s="1234">
        <v>0</v>
      </c>
      <c r="P67" s="603">
        <v>0</v>
      </c>
      <c r="Q67" s="605">
        <f t="shared" si="31"/>
        <v>0</v>
      </c>
      <c r="R67" s="1228"/>
      <c r="S67" s="605">
        <f t="shared" si="32"/>
        <v>0</v>
      </c>
      <c r="T67" s="605">
        <f t="shared" si="33"/>
        <v>0</v>
      </c>
      <c r="U67" s="605">
        <f t="shared" si="34"/>
        <v>0</v>
      </c>
    </row>
    <row r="68" spans="1:21" x14ac:dyDescent="0.35">
      <c r="A68" s="411" t="s">
        <v>307</v>
      </c>
      <c r="B68" s="450" t="s">
        <v>308</v>
      </c>
      <c r="C68" s="1234">
        <v>0</v>
      </c>
      <c r="D68" s="603">
        <v>0</v>
      </c>
      <c r="E68" s="605">
        <f t="shared" si="28"/>
        <v>0</v>
      </c>
      <c r="F68" s="1228"/>
      <c r="G68" s="1234">
        <v>0</v>
      </c>
      <c r="H68" s="603">
        <v>0</v>
      </c>
      <c r="I68" s="605">
        <f t="shared" si="29"/>
        <v>0</v>
      </c>
      <c r="J68" s="1228"/>
      <c r="K68" s="1234">
        <v>0</v>
      </c>
      <c r="L68" s="603">
        <v>0</v>
      </c>
      <c r="M68" s="605">
        <f t="shared" si="30"/>
        <v>0</v>
      </c>
      <c r="N68" s="1228"/>
      <c r="O68" s="1234">
        <v>0</v>
      </c>
      <c r="P68" s="603">
        <v>0</v>
      </c>
      <c r="Q68" s="605">
        <f t="shared" si="31"/>
        <v>0</v>
      </c>
      <c r="R68" s="1228"/>
      <c r="S68" s="605">
        <f t="shared" si="32"/>
        <v>0</v>
      </c>
      <c r="T68" s="605">
        <f t="shared" si="33"/>
        <v>0</v>
      </c>
      <c r="U68" s="605">
        <f t="shared" si="34"/>
        <v>0</v>
      </c>
    </row>
    <row r="69" spans="1:21" x14ac:dyDescent="0.35">
      <c r="A69" s="411" t="s">
        <v>309</v>
      </c>
      <c r="B69" s="450" t="s">
        <v>310</v>
      </c>
      <c r="C69" s="1234">
        <v>0</v>
      </c>
      <c r="D69" s="603">
        <v>0</v>
      </c>
      <c r="E69" s="605">
        <f t="shared" si="28"/>
        <v>0</v>
      </c>
      <c r="F69" s="1228"/>
      <c r="G69" s="1234">
        <v>0</v>
      </c>
      <c r="H69" s="603">
        <v>0</v>
      </c>
      <c r="I69" s="605">
        <f t="shared" si="29"/>
        <v>0</v>
      </c>
      <c r="J69" s="1228"/>
      <c r="K69" s="1234">
        <v>0</v>
      </c>
      <c r="L69" s="603">
        <v>0</v>
      </c>
      <c r="M69" s="605">
        <f t="shared" si="30"/>
        <v>0</v>
      </c>
      <c r="N69" s="1228"/>
      <c r="O69" s="1234">
        <v>0</v>
      </c>
      <c r="P69" s="603">
        <v>0</v>
      </c>
      <c r="Q69" s="605">
        <f t="shared" si="31"/>
        <v>0</v>
      </c>
      <c r="R69" s="1228"/>
      <c r="S69" s="605">
        <f t="shared" si="32"/>
        <v>0</v>
      </c>
      <c r="T69" s="605">
        <f t="shared" si="33"/>
        <v>0</v>
      </c>
      <c r="U69" s="605">
        <f t="shared" si="34"/>
        <v>0</v>
      </c>
    </row>
    <row r="70" spans="1:21" x14ac:dyDescent="0.35">
      <c r="A70" s="411" t="s">
        <v>311</v>
      </c>
      <c r="B70" s="450" t="s">
        <v>312</v>
      </c>
      <c r="C70" s="1234">
        <v>0</v>
      </c>
      <c r="D70" s="603">
        <v>0</v>
      </c>
      <c r="E70" s="605">
        <f t="shared" si="28"/>
        <v>0</v>
      </c>
      <c r="F70" s="1228"/>
      <c r="G70" s="1234">
        <v>0</v>
      </c>
      <c r="H70" s="603">
        <v>0</v>
      </c>
      <c r="I70" s="605">
        <f t="shared" si="29"/>
        <v>0</v>
      </c>
      <c r="J70" s="1228"/>
      <c r="K70" s="1234">
        <v>0</v>
      </c>
      <c r="L70" s="603">
        <v>0</v>
      </c>
      <c r="M70" s="605">
        <f t="shared" si="30"/>
        <v>0</v>
      </c>
      <c r="N70" s="1228"/>
      <c r="O70" s="1234">
        <v>0</v>
      </c>
      <c r="P70" s="603">
        <v>0</v>
      </c>
      <c r="Q70" s="605">
        <f t="shared" si="31"/>
        <v>0</v>
      </c>
      <c r="R70" s="1228"/>
      <c r="S70" s="605">
        <f t="shared" si="32"/>
        <v>0</v>
      </c>
      <c r="T70" s="605">
        <f t="shared" si="33"/>
        <v>0</v>
      </c>
      <c r="U70" s="605">
        <f t="shared" si="34"/>
        <v>0</v>
      </c>
    </row>
    <row r="71" spans="1:21" x14ac:dyDescent="0.35">
      <c r="A71" s="411" t="s">
        <v>313</v>
      </c>
      <c r="B71" s="450" t="s">
        <v>314</v>
      </c>
      <c r="C71" s="1234">
        <v>0</v>
      </c>
      <c r="D71" s="603">
        <v>0</v>
      </c>
      <c r="E71" s="605">
        <f t="shared" si="28"/>
        <v>0</v>
      </c>
      <c r="F71" s="1228"/>
      <c r="G71" s="1234">
        <v>0</v>
      </c>
      <c r="H71" s="603">
        <v>0</v>
      </c>
      <c r="I71" s="605">
        <f t="shared" si="29"/>
        <v>0</v>
      </c>
      <c r="J71" s="1228"/>
      <c r="K71" s="1234">
        <v>0</v>
      </c>
      <c r="L71" s="603">
        <v>0</v>
      </c>
      <c r="M71" s="605">
        <f t="shared" si="30"/>
        <v>0</v>
      </c>
      <c r="N71" s="1228"/>
      <c r="O71" s="1234">
        <v>0</v>
      </c>
      <c r="P71" s="603">
        <v>0</v>
      </c>
      <c r="Q71" s="605">
        <f t="shared" si="31"/>
        <v>0</v>
      </c>
      <c r="R71" s="1228"/>
      <c r="S71" s="605">
        <f t="shared" si="32"/>
        <v>0</v>
      </c>
      <c r="T71" s="605">
        <f t="shared" si="33"/>
        <v>0</v>
      </c>
      <c r="U71" s="605">
        <f t="shared" si="34"/>
        <v>0</v>
      </c>
    </row>
    <row r="72" spans="1:21" x14ac:dyDescent="0.35">
      <c r="A72" s="411" t="s">
        <v>315</v>
      </c>
      <c r="B72" s="450" t="s">
        <v>316</v>
      </c>
      <c r="C72" s="1234">
        <v>0</v>
      </c>
      <c r="D72" s="603">
        <v>0</v>
      </c>
      <c r="E72" s="605">
        <f t="shared" si="28"/>
        <v>0</v>
      </c>
      <c r="F72" s="1228"/>
      <c r="G72" s="1234">
        <v>0</v>
      </c>
      <c r="H72" s="603">
        <v>0</v>
      </c>
      <c r="I72" s="605">
        <f t="shared" si="29"/>
        <v>0</v>
      </c>
      <c r="J72" s="1228"/>
      <c r="K72" s="1234">
        <v>0</v>
      </c>
      <c r="L72" s="603">
        <v>0</v>
      </c>
      <c r="M72" s="605">
        <f t="shared" si="30"/>
        <v>0</v>
      </c>
      <c r="N72" s="1228"/>
      <c r="O72" s="1234">
        <v>0</v>
      </c>
      <c r="P72" s="603">
        <v>0</v>
      </c>
      <c r="Q72" s="605">
        <f t="shared" si="31"/>
        <v>0</v>
      </c>
      <c r="R72" s="1228"/>
      <c r="S72" s="605">
        <f t="shared" si="32"/>
        <v>0</v>
      </c>
      <c r="T72" s="605">
        <f t="shared" si="33"/>
        <v>0</v>
      </c>
      <c r="U72" s="605">
        <f t="shared" si="34"/>
        <v>0</v>
      </c>
    </row>
    <row r="73" spans="1:21" x14ac:dyDescent="0.35">
      <c r="A73" s="411" t="s">
        <v>317</v>
      </c>
      <c r="B73" s="450" t="s">
        <v>318</v>
      </c>
      <c r="C73" s="1234">
        <v>0</v>
      </c>
      <c r="D73" s="603">
        <v>0</v>
      </c>
      <c r="E73" s="605">
        <f t="shared" si="28"/>
        <v>0</v>
      </c>
      <c r="F73" s="1228"/>
      <c r="G73" s="1234">
        <v>0</v>
      </c>
      <c r="H73" s="603">
        <v>0</v>
      </c>
      <c r="I73" s="605">
        <f t="shared" si="29"/>
        <v>0</v>
      </c>
      <c r="J73" s="1228"/>
      <c r="K73" s="1234">
        <v>0</v>
      </c>
      <c r="L73" s="603">
        <v>0</v>
      </c>
      <c r="M73" s="605">
        <f t="shared" si="30"/>
        <v>0</v>
      </c>
      <c r="N73" s="1228"/>
      <c r="O73" s="1234">
        <v>0</v>
      </c>
      <c r="P73" s="603">
        <v>0</v>
      </c>
      <c r="Q73" s="605">
        <f t="shared" si="31"/>
        <v>0</v>
      </c>
      <c r="R73" s="1228"/>
      <c r="S73" s="605">
        <f t="shared" si="32"/>
        <v>0</v>
      </c>
      <c r="T73" s="605">
        <f t="shared" si="33"/>
        <v>0</v>
      </c>
      <c r="U73" s="605">
        <f t="shared" si="34"/>
        <v>0</v>
      </c>
    </row>
    <row r="74" spans="1:21" x14ac:dyDescent="0.35">
      <c r="A74" s="411" t="s">
        <v>319</v>
      </c>
      <c r="B74" s="450" t="s">
        <v>320</v>
      </c>
      <c r="C74" s="1234">
        <v>0</v>
      </c>
      <c r="D74" s="603">
        <v>0</v>
      </c>
      <c r="E74" s="605">
        <f t="shared" si="28"/>
        <v>0</v>
      </c>
      <c r="F74" s="1228"/>
      <c r="G74" s="1234">
        <v>0</v>
      </c>
      <c r="H74" s="603">
        <v>0</v>
      </c>
      <c r="I74" s="605">
        <f t="shared" si="29"/>
        <v>0</v>
      </c>
      <c r="J74" s="1228"/>
      <c r="K74" s="1234">
        <v>0</v>
      </c>
      <c r="L74" s="603">
        <v>0</v>
      </c>
      <c r="M74" s="605">
        <f t="shared" si="30"/>
        <v>0</v>
      </c>
      <c r="N74" s="1228"/>
      <c r="O74" s="1234">
        <v>0</v>
      </c>
      <c r="P74" s="603">
        <v>0</v>
      </c>
      <c r="Q74" s="605">
        <f t="shared" si="31"/>
        <v>0</v>
      </c>
      <c r="R74" s="1228"/>
      <c r="S74" s="605">
        <f t="shared" si="32"/>
        <v>0</v>
      </c>
      <c r="T74" s="605">
        <f t="shared" si="33"/>
        <v>0</v>
      </c>
      <c r="U74" s="605">
        <f t="shared" si="34"/>
        <v>0</v>
      </c>
    </row>
    <row r="75" spans="1:21" x14ac:dyDescent="0.35">
      <c r="A75" s="411" t="s">
        <v>321</v>
      </c>
      <c r="B75" s="450" t="s">
        <v>322</v>
      </c>
      <c r="C75" s="1234">
        <v>0</v>
      </c>
      <c r="D75" s="603">
        <v>0</v>
      </c>
      <c r="E75" s="605">
        <f t="shared" si="28"/>
        <v>0</v>
      </c>
      <c r="F75" s="1228"/>
      <c r="G75" s="1234">
        <v>0</v>
      </c>
      <c r="H75" s="603">
        <v>0</v>
      </c>
      <c r="I75" s="605">
        <f t="shared" si="29"/>
        <v>0</v>
      </c>
      <c r="J75" s="1228"/>
      <c r="K75" s="1234">
        <v>0</v>
      </c>
      <c r="L75" s="603">
        <v>0</v>
      </c>
      <c r="M75" s="605">
        <f t="shared" si="30"/>
        <v>0</v>
      </c>
      <c r="N75" s="1228"/>
      <c r="O75" s="1234">
        <v>0</v>
      </c>
      <c r="P75" s="603">
        <v>0</v>
      </c>
      <c r="Q75" s="605">
        <f t="shared" si="31"/>
        <v>0</v>
      </c>
      <c r="R75" s="1228"/>
      <c r="S75" s="605">
        <f t="shared" si="32"/>
        <v>0</v>
      </c>
      <c r="T75" s="605">
        <f t="shared" si="33"/>
        <v>0</v>
      </c>
      <c r="U75" s="605">
        <f t="shared" si="34"/>
        <v>0</v>
      </c>
    </row>
    <row r="76" spans="1:21" x14ac:dyDescent="0.35">
      <c r="A76" s="411" t="s">
        <v>323</v>
      </c>
      <c r="B76" s="450" t="s">
        <v>324</v>
      </c>
      <c r="C76" s="1234">
        <v>0</v>
      </c>
      <c r="D76" s="603">
        <v>0</v>
      </c>
      <c r="E76" s="605">
        <f t="shared" si="28"/>
        <v>0</v>
      </c>
      <c r="F76" s="1228"/>
      <c r="G76" s="1234">
        <v>0</v>
      </c>
      <c r="H76" s="603">
        <v>0</v>
      </c>
      <c r="I76" s="605">
        <f t="shared" si="29"/>
        <v>0</v>
      </c>
      <c r="J76" s="1228"/>
      <c r="K76" s="1234">
        <v>0</v>
      </c>
      <c r="L76" s="603">
        <v>0</v>
      </c>
      <c r="M76" s="605">
        <f t="shared" si="30"/>
        <v>0</v>
      </c>
      <c r="N76" s="1228"/>
      <c r="O76" s="1234">
        <v>0</v>
      </c>
      <c r="P76" s="603">
        <v>0</v>
      </c>
      <c r="Q76" s="605">
        <f t="shared" si="31"/>
        <v>0</v>
      </c>
      <c r="R76" s="1228"/>
      <c r="S76" s="605">
        <f t="shared" si="32"/>
        <v>0</v>
      </c>
      <c r="T76" s="605">
        <f t="shared" si="33"/>
        <v>0</v>
      </c>
      <c r="U76" s="605">
        <f t="shared" si="34"/>
        <v>0</v>
      </c>
    </row>
    <row r="77" spans="1:21" x14ac:dyDescent="0.35">
      <c r="A77" s="411" t="s">
        <v>325</v>
      </c>
      <c r="B77" s="450" t="s">
        <v>326</v>
      </c>
      <c r="C77" s="1234">
        <v>0</v>
      </c>
      <c r="D77" s="603">
        <v>0</v>
      </c>
      <c r="E77" s="605">
        <f t="shared" si="28"/>
        <v>0</v>
      </c>
      <c r="F77" s="1228"/>
      <c r="G77" s="1234">
        <v>0</v>
      </c>
      <c r="H77" s="603">
        <v>0</v>
      </c>
      <c r="I77" s="605">
        <f t="shared" si="29"/>
        <v>0</v>
      </c>
      <c r="J77" s="1228"/>
      <c r="K77" s="1234">
        <v>0</v>
      </c>
      <c r="L77" s="603">
        <v>0</v>
      </c>
      <c r="M77" s="605">
        <f t="shared" si="30"/>
        <v>0</v>
      </c>
      <c r="N77" s="1228"/>
      <c r="O77" s="1234">
        <v>0</v>
      </c>
      <c r="P77" s="603">
        <v>0</v>
      </c>
      <c r="Q77" s="605">
        <f t="shared" si="31"/>
        <v>0</v>
      </c>
      <c r="R77" s="1228"/>
      <c r="S77" s="605">
        <f t="shared" si="32"/>
        <v>0</v>
      </c>
      <c r="T77" s="605">
        <f t="shared" si="33"/>
        <v>0</v>
      </c>
      <c r="U77" s="605">
        <f t="shared" si="34"/>
        <v>0</v>
      </c>
    </row>
    <row r="78" spans="1:21" x14ac:dyDescent="0.35">
      <c r="A78" s="411" t="s">
        <v>327</v>
      </c>
      <c r="B78" s="450" t="s">
        <v>328</v>
      </c>
      <c r="C78" s="1234">
        <v>0</v>
      </c>
      <c r="D78" s="603">
        <v>0</v>
      </c>
      <c r="E78" s="605">
        <f t="shared" si="28"/>
        <v>0</v>
      </c>
      <c r="F78" s="1228"/>
      <c r="G78" s="1234">
        <v>0</v>
      </c>
      <c r="H78" s="603">
        <v>0</v>
      </c>
      <c r="I78" s="605">
        <f t="shared" si="29"/>
        <v>0</v>
      </c>
      <c r="J78" s="1228"/>
      <c r="K78" s="1234">
        <v>0</v>
      </c>
      <c r="L78" s="603">
        <v>0</v>
      </c>
      <c r="M78" s="605">
        <f t="shared" si="30"/>
        <v>0</v>
      </c>
      <c r="N78" s="1228"/>
      <c r="O78" s="1234">
        <v>0</v>
      </c>
      <c r="P78" s="603">
        <v>0</v>
      </c>
      <c r="Q78" s="605">
        <f t="shared" si="31"/>
        <v>0</v>
      </c>
      <c r="R78" s="1228"/>
      <c r="S78" s="605">
        <f t="shared" si="32"/>
        <v>0</v>
      </c>
      <c r="T78" s="605">
        <f t="shared" si="33"/>
        <v>0</v>
      </c>
      <c r="U78" s="605">
        <f t="shared" si="34"/>
        <v>0</v>
      </c>
    </row>
    <row r="79" spans="1:21" x14ac:dyDescent="0.35">
      <c r="A79" s="411" t="s">
        <v>329</v>
      </c>
      <c r="B79" s="450" t="s">
        <v>330</v>
      </c>
      <c r="C79" s="1234">
        <v>0</v>
      </c>
      <c r="D79" s="603">
        <v>0</v>
      </c>
      <c r="E79" s="605">
        <f t="shared" si="28"/>
        <v>0</v>
      </c>
      <c r="F79" s="1228"/>
      <c r="G79" s="1234">
        <v>0</v>
      </c>
      <c r="H79" s="603">
        <v>0</v>
      </c>
      <c r="I79" s="605">
        <f t="shared" si="29"/>
        <v>0</v>
      </c>
      <c r="J79" s="1228"/>
      <c r="K79" s="1234">
        <v>0</v>
      </c>
      <c r="L79" s="603">
        <v>0</v>
      </c>
      <c r="M79" s="605">
        <f t="shared" si="30"/>
        <v>0</v>
      </c>
      <c r="N79" s="1228"/>
      <c r="O79" s="1234">
        <v>0</v>
      </c>
      <c r="P79" s="603">
        <v>0</v>
      </c>
      <c r="Q79" s="605">
        <f t="shared" si="31"/>
        <v>0</v>
      </c>
      <c r="R79" s="1228"/>
      <c r="S79" s="605">
        <f t="shared" si="32"/>
        <v>0</v>
      </c>
      <c r="T79" s="605">
        <f t="shared" si="33"/>
        <v>0</v>
      </c>
      <c r="U79" s="605">
        <f t="shared" si="34"/>
        <v>0</v>
      </c>
    </row>
    <row r="80" spans="1:21" x14ac:dyDescent="0.35">
      <c r="A80" s="411" t="s">
        <v>331</v>
      </c>
      <c r="B80" s="450" t="s">
        <v>332</v>
      </c>
      <c r="C80" s="1234">
        <v>0</v>
      </c>
      <c r="D80" s="603">
        <v>0</v>
      </c>
      <c r="E80" s="605">
        <f t="shared" si="28"/>
        <v>0</v>
      </c>
      <c r="F80" s="1228"/>
      <c r="G80" s="1234">
        <v>0</v>
      </c>
      <c r="H80" s="603">
        <v>0</v>
      </c>
      <c r="I80" s="605">
        <f t="shared" si="29"/>
        <v>0</v>
      </c>
      <c r="J80" s="1228"/>
      <c r="K80" s="1234">
        <v>0</v>
      </c>
      <c r="L80" s="603">
        <v>0</v>
      </c>
      <c r="M80" s="605">
        <f t="shared" si="30"/>
        <v>0</v>
      </c>
      <c r="N80" s="1228"/>
      <c r="O80" s="1234">
        <v>0</v>
      </c>
      <c r="P80" s="603">
        <v>0</v>
      </c>
      <c r="Q80" s="605">
        <f t="shared" si="31"/>
        <v>0</v>
      </c>
      <c r="R80" s="1228"/>
      <c r="S80" s="605">
        <f t="shared" si="32"/>
        <v>0</v>
      </c>
      <c r="T80" s="605">
        <f t="shared" si="33"/>
        <v>0</v>
      </c>
      <c r="U80" s="605">
        <f t="shared" si="34"/>
        <v>0</v>
      </c>
    </row>
    <row r="81" spans="1:21" x14ac:dyDescent="0.35">
      <c r="A81" s="411" t="s">
        <v>333</v>
      </c>
      <c r="B81" s="450" t="s">
        <v>334</v>
      </c>
      <c r="C81" s="1237">
        <v>0</v>
      </c>
      <c r="D81" s="1238">
        <v>0</v>
      </c>
      <c r="E81" s="1239">
        <f>C81+D81</f>
        <v>0</v>
      </c>
      <c r="F81" s="1240"/>
      <c r="G81" s="1237">
        <v>0</v>
      </c>
      <c r="H81" s="1238">
        <v>0</v>
      </c>
      <c r="I81" s="1239">
        <f>G81+H81</f>
        <v>0</v>
      </c>
      <c r="J81" s="1240"/>
      <c r="K81" s="1237">
        <v>0</v>
      </c>
      <c r="L81" s="1238">
        <v>0</v>
      </c>
      <c r="M81" s="1239">
        <f>K81+L81</f>
        <v>0</v>
      </c>
      <c r="N81" s="1240"/>
      <c r="O81" s="1237">
        <v>0</v>
      </c>
      <c r="P81" s="1238">
        <v>0</v>
      </c>
      <c r="Q81" s="1239">
        <f>O81+P81</f>
        <v>0</v>
      </c>
      <c r="R81" s="1240"/>
      <c r="S81" s="1239">
        <f t="shared" ref="S81:T84" si="35">C81+G81+K81+O81</f>
        <v>0</v>
      </c>
      <c r="T81" s="1239">
        <f t="shared" si="35"/>
        <v>0</v>
      </c>
      <c r="U81" s="1239">
        <f>S81+T81</f>
        <v>0</v>
      </c>
    </row>
    <row r="82" spans="1:21" x14ac:dyDescent="0.35">
      <c r="A82" s="411" t="s">
        <v>335</v>
      </c>
      <c r="B82" s="450" t="s">
        <v>336</v>
      </c>
      <c r="C82" s="1237">
        <v>0</v>
      </c>
      <c r="D82" s="1238">
        <v>0</v>
      </c>
      <c r="E82" s="1239">
        <f>C82+D82</f>
        <v>0</v>
      </c>
      <c r="F82" s="1240"/>
      <c r="G82" s="1237">
        <v>0</v>
      </c>
      <c r="H82" s="1238">
        <v>0</v>
      </c>
      <c r="I82" s="1239">
        <f>G82+H82</f>
        <v>0</v>
      </c>
      <c r="J82" s="1240"/>
      <c r="K82" s="1237">
        <v>0</v>
      </c>
      <c r="L82" s="1238">
        <v>0</v>
      </c>
      <c r="M82" s="1239">
        <f>K82+L82</f>
        <v>0</v>
      </c>
      <c r="N82" s="1240"/>
      <c r="O82" s="1237">
        <v>0</v>
      </c>
      <c r="P82" s="1238">
        <v>0</v>
      </c>
      <c r="Q82" s="1239">
        <f>O82+P82</f>
        <v>0</v>
      </c>
      <c r="R82" s="1240"/>
      <c r="S82" s="1239">
        <f t="shared" si="35"/>
        <v>0</v>
      </c>
      <c r="T82" s="1239">
        <f t="shared" si="35"/>
        <v>0</v>
      </c>
      <c r="U82" s="1239">
        <f>S82+T82</f>
        <v>0</v>
      </c>
    </row>
    <row r="83" spans="1:21" x14ac:dyDescent="0.35">
      <c r="A83" s="411" t="s">
        <v>337</v>
      </c>
      <c r="B83" s="450" t="s">
        <v>338</v>
      </c>
      <c r="C83" s="1237">
        <v>0</v>
      </c>
      <c r="D83" s="1238">
        <v>0</v>
      </c>
      <c r="E83" s="1239">
        <f>C83+D83</f>
        <v>0</v>
      </c>
      <c r="F83" s="1240"/>
      <c r="G83" s="1237">
        <v>0</v>
      </c>
      <c r="H83" s="1238">
        <v>0</v>
      </c>
      <c r="I83" s="1239">
        <f>G83+H83</f>
        <v>0</v>
      </c>
      <c r="J83" s="1240"/>
      <c r="K83" s="1237">
        <v>0</v>
      </c>
      <c r="L83" s="1238">
        <v>0</v>
      </c>
      <c r="M83" s="1239">
        <f>K83+L83</f>
        <v>0</v>
      </c>
      <c r="N83" s="1240"/>
      <c r="O83" s="1237">
        <v>0</v>
      </c>
      <c r="P83" s="1238">
        <v>0</v>
      </c>
      <c r="Q83" s="1239">
        <f>O83+P83</f>
        <v>0</v>
      </c>
      <c r="R83" s="1240"/>
      <c r="S83" s="1239">
        <f t="shared" si="35"/>
        <v>0</v>
      </c>
      <c r="T83" s="1239">
        <f t="shared" si="35"/>
        <v>0</v>
      </c>
      <c r="U83" s="1239">
        <f>S83+T83</f>
        <v>0</v>
      </c>
    </row>
    <row r="84" spans="1:21" x14ac:dyDescent="0.35">
      <c r="A84" s="451" t="s">
        <v>339</v>
      </c>
      <c r="B84" s="1241" t="s">
        <v>340</v>
      </c>
      <c r="C84" s="1242">
        <f>SUM(C81:C83)</f>
        <v>0</v>
      </c>
      <c r="D84" s="1243">
        <f>SUM(D81:D83)</f>
        <v>0</v>
      </c>
      <c r="E84" s="1244">
        <f>SUM(E81:E83)</f>
        <v>0</v>
      </c>
      <c r="F84" s="1240"/>
      <c r="G84" s="1242">
        <f>SUM(G81:G83)</f>
        <v>0</v>
      </c>
      <c r="H84" s="1245">
        <f>SUM(H81:H83)</f>
        <v>0</v>
      </c>
      <c r="I84" s="1244">
        <f>SUM(I81:I83)</f>
        <v>0</v>
      </c>
      <c r="J84" s="1240"/>
      <c r="K84" s="1242">
        <f>SUM(K81:K83)</f>
        <v>0</v>
      </c>
      <c r="L84" s="1245">
        <f>SUM(L81:L83)</f>
        <v>0</v>
      </c>
      <c r="M84" s="1244">
        <f>SUM(M81:M83)</f>
        <v>0</v>
      </c>
      <c r="N84" s="1240"/>
      <c r="O84" s="1242">
        <f>SUM(O81:O83)</f>
        <v>0</v>
      </c>
      <c r="P84" s="1245">
        <f>SUM(P81:P83)</f>
        <v>0</v>
      </c>
      <c r="Q84" s="1244">
        <f>SUM(Q81:Q83)</f>
        <v>0</v>
      </c>
      <c r="R84" s="1240"/>
      <c r="S84" s="1244">
        <f t="shared" si="35"/>
        <v>0</v>
      </c>
      <c r="T84" s="1244">
        <f t="shared" si="35"/>
        <v>0</v>
      </c>
      <c r="U84" s="1244">
        <f>S84+T84</f>
        <v>0</v>
      </c>
    </row>
    <row r="85" spans="1:21" ht="15" thickBot="1" x14ac:dyDescent="0.4">
      <c r="A85" s="411" t="s">
        <v>341</v>
      </c>
      <c r="B85" s="450" t="s">
        <v>342</v>
      </c>
      <c r="C85" s="1234">
        <v>0</v>
      </c>
      <c r="D85" s="603">
        <v>0</v>
      </c>
      <c r="E85" s="605">
        <f t="shared" si="28"/>
        <v>0</v>
      </c>
      <c r="F85" s="1228"/>
      <c r="G85" s="1234">
        <v>0</v>
      </c>
      <c r="H85" s="603">
        <v>0</v>
      </c>
      <c r="I85" s="605">
        <f t="shared" si="29"/>
        <v>0</v>
      </c>
      <c r="J85" s="1228"/>
      <c r="K85" s="1234">
        <v>0</v>
      </c>
      <c r="L85" s="603">
        <v>0</v>
      </c>
      <c r="M85" s="605">
        <f t="shared" si="30"/>
        <v>0</v>
      </c>
      <c r="N85" s="1228"/>
      <c r="O85" s="1234">
        <v>0</v>
      </c>
      <c r="P85" s="603">
        <v>0</v>
      </c>
      <c r="Q85" s="605">
        <f t="shared" si="31"/>
        <v>0</v>
      </c>
      <c r="R85" s="1228"/>
      <c r="S85" s="605">
        <f t="shared" si="32"/>
        <v>0</v>
      </c>
      <c r="T85" s="605">
        <f t="shared" si="33"/>
        <v>0</v>
      </c>
      <c r="U85" s="605">
        <f t="shared" si="34"/>
        <v>0</v>
      </c>
    </row>
    <row r="86" spans="1:21" ht="15" thickBot="1" x14ac:dyDescent="0.4">
      <c r="A86" s="421">
        <v>50399</v>
      </c>
      <c r="B86" s="610" t="s">
        <v>343</v>
      </c>
      <c r="C86" s="1230">
        <f>SUM(C66:C80)+C84+C85</f>
        <v>0</v>
      </c>
      <c r="D86" s="1246">
        <f>SUM(D66:D80)+D84+D85</f>
        <v>0</v>
      </c>
      <c r="E86" s="612">
        <f t="shared" si="28"/>
        <v>0</v>
      </c>
      <c r="F86" s="1232"/>
      <c r="G86" s="1230">
        <f>SUM(G66:G80)+G84+G85</f>
        <v>0</v>
      </c>
      <c r="H86" s="1247">
        <f>SUM(H66:H80)+H84+H85</f>
        <v>0</v>
      </c>
      <c r="I86" s="612">
        <f t="shared" si="29"/>
        <v>0</v>
      </c>
      <c r="J86" s="1232"/>
      <c r="K86" s="1230">
        <f>SUM(K66:K80)+K84+K85</f>
        <v>0</v>
      </c>
      <c r="L86" s="1247">
        <f>SUM(L66:L80)+L84+L85</f>
        <v>0</v>
      </c>
      <c r="M86" s="612">
        <f t="shared" si="30"/>
        <v>0</v>
      </c>
      <c r="N86" s="1232"/>
      <c r="O86" s="1230">
        <f>SUM(O66:O80)+O84+O85</f>
        <v>0</v>
      </c>
      <c r="P86" s="1247">
        <f>SUM(P66:P80)+P84+P85</f>
        <v>0</v>
      </c>
      <c r="Q86" s="612">
        <f t="shared" si="31"/>
        <v>0</v>
      </c>
      <c r="R86" s="1232"/>
      <c r="S86" s="612">
        <f>C86+G86+K86+O86</f>
        <v>0</v>
      </c>
      <c r="T86" s="612">
        <f t="shared" si="33"/>
        <v>0</v>
      </c>
      <c r="U86" s="612">
        <f t="shared" si="34"/>
        <v>0</v>
      </c>
    </row>
    <row r="87" spans="1:21" ht="15" thickBot="1" x14ac:dyDescent="0.4">
      <c r="A87" s="411" t="s">
        <v>344</v>
      </c>
      <c r="B87" s="450" t="s">
        <v>345</v>
      </c>
      <c r="C87" s="1248">
        <v>0</v>
      </c>
      <c r="D87" s="1222">
        <v>0</v>
      </c>
      <c r="E87" s="605">
        <f t="shared" si="28"/>
        <v>0</v>
      </c>
      <c r="F87" s="1223"/>
      <c r="G87" s="1248">
        <v>0</v>
      </c>
      <c r="H87" s="1222">
        <v>0</v>
      </c>
      <c r="I87" s="605">
        <f t="shared" si="29"/>
        <v>0</v>
      </c>
      <c r="J87" s="1223"/>
      <c r="K87" s="1248">
        <v>0</v>
      </c>
      <c r="L87" s="1222">
        <v>0</v>
      </c>
      <c r="M87" s="605">
        <f t="shared" si="30"/>
        <v>0</v>
      </c>
      <c r="N87" s="1223"/>
      <c r="O87" s="1248">
        <v>0</v>
      </c>
      <c r="P87" s="1222">
        <v>0</v>
      </c>
      <c r="Q87" s="605">
        <f t="shared" si="31"/>
        <v>0</v>
      </c>
      <c r="R87" s="1223"/>
      <c r="S87" s="605">
        <f t="shared" si="32"/>
        <v>0</v>
      </c>
      <c r="T87" s="605">
        <f t="shared" si="33"/>
        <v>0</v>
      </c>
      <c r="U87" s="605">
        <f t="shared" si="34"/>
        <v>0</v>
      </c>
    </row>
    <row r="88" spans="1:21" ht="15" thickBot="1" x14ac:dyDescent="0.4">
      <c r="A88" s="421">
        <v>59999</v>
      </c>
      <c r="B88" s="610" t="s">
        <v>346</v>
      </c>
      <c r="C88" s="1230">
        <f>C30+C47+C64+C86+C87</f>
        <v>0</v>
      </c>
      <c r="D88" s="1231">
        <f>D30+D47+D64+D86+D87</f>
        <v>0</v>
      </c>
      <c r="E88" s="612">
        <f>E30+E47+E64+E86+E87</f>
        <v>0</v>
      </c>
      <c r="F88" s="1232"/>
      <c r="G88" s="1230">
        <f>G30+G47+G64+G86+G87</f>
        <v>0</v>
      </c>
      <c r="H88" s="1231">
        <f>H30+H47+H64+H86+H87</f>
        <v>0</v>
      </c>
      <c r="I88" s="612">
        <f>I30+I47+I64+I86+I87</f>
        <v>0</v>
      </c>
      <c r="J88" s="1232"/>
      <c r="K88" s="1230">
        <f>K30+K47+K64+K86+K87</f>
        <v>0</v>
      </c>
      <c r="L88" s="1231">
        <f>L30+L47+L64+L86+L87</f>
        <v>0</v>
      </c>
      <c r="M88" s="612">
        <f>M30+M47+M64+M86+M87</f>
        <v>0</v>
      </c>
      <c r="N88" s="1232"/>
      <c r="O88" s="1230">
        <f>O30+O47+O64+O86+O87</f>
        <v>0</v>
      </c>
      <c r="P88" s="1231">
        <f>P30+P47+P64+P86+P87</f>
        <v>0</v>
      </c>
      <c r="Q88" s="612">
        <f>Q30+Q47+Q64+Q86+Q87</f>
        <v>0</v>
      </c>
      <c r="R88" s="1232"/>
      <c r="S88" s="612">
        <f>C88+G88+K88+O88</f>
        <v>0</v>
      </c>
      <c r="T88" s="612">
        <f t="shared" si="33"/>
        <v>0</v>
      </c>
      <c r="U88" s="612">
        <f>S88+T88</f>
        <v>0</v>
      </c>
    </row>
    <row r="89" spans="1:21" x14ac:dyDescent="0.35">
      <c r="A89" s="457" t="s">
        <v>347</v>
      </c>
      <c r="B89" s="538"/>
      <c r="C89" s="1249"/>
      <c r="D89" s="1225"/>
      <c r="E89" s="605"/>
      <c r="F89" s="1226"/>
      <c r="G89" s="1249"/>
      <c r="H89" s="1225"/>
      <c r="I89" s="605"/>
      <c r="J89" s="1226"/>
      <c r="K89" s="1249"/>
      <c r="L89" s="1225"/>
      <c r="M89" s="605"/>
      <c r="N89" s="1226"/>
      <c r="O89" s="1249"/>
      <c r="P89" s="1225"/>
      <c r="Q89" s="605"/>
      <c r="R89" s="1226"/>
      <c r="S89" s="605"/>
      <c r="T89" s="605"/>
      <c r="U89" s="605"/>
    </row>
    <row r="90" spans="1:21" x14ac:dyDescent="0.35">
      <c r="A90" s="411" t="s">
        <v>348</v>
      </c>
      <c r="B90" s="450" t="s">
        <v>349</v>
      </c>
      <c r="C90" s="1234">
        <v>0</v>
      </c>
      <c r="D90" s="603">
        <v>0</v>
      </c>
      <c r="E90" s="605">
        <f t="shared" ref="E90:E95" si="36">SUM(C90:D90)</f>
        <v>0</v>
      </c>
      <c r="F90" s="1228"/>
      <c r="G90" s="1234">
        <v>0</v>
      </c>
      <c r="H90" s="603">
        <v>0</v>
      </c>
      <c r="I90" s="605">
        <f t="shared" ref="I90:I95" si="37">SUM(G90:H90)</f>
        <v>0</v>
      </c>
      <c r="J90" s="1228"/>
      <c r="K90" s="1234">
        <v>0</v>
      </c>
      <c r="L90" s="603">
        <v>0</v>
      </c>
      <c r="M90" s="605">
        <f t="shared" ref="M90:M95" si="38">SUM(K90:L90)</f>
        <v>0</v>
      </c>
      <c r="N90" s="1228"/>
      <c r="O90" s="1234">
        <v>0</v>
      </c>
      <c r="P90" s="603">
        <v>0</v>
      </c>
      <c r="Q90" s="605">
        <f t="shared" ref="Q90:Q95" si="39">SUM(O90:P90)</f>
        <v>0</v>
      </c>
      <c r="R90" s="1228"/>
      <c r="S90" s="605">
        <f t="shared" ref="S90:T95" si="40">C90+G90+K90+O90</f>
        <v>0</v>
      </c>
      <c r="T90" s="605">
        <f t="shared" si="40"/>
        <v>0</v>
      </c>
      <c r="U90" s="605">
        <f t="shared" ref="U90:U95" si="41">S90+T90</f>
        <v>0</v>
      </c>
    </row>
    <row r="91" spans="1:21" x14ac:dyDescent="0.35">
      <c r="A91" s="411" t="s">
        <v>350</v>
      </c>
      <c r="B91" s="450" t="s">
        <v>351</v>
      </c>
      <c r="C91" s="1234">
        <v>0</v>
      </c>
      <c r="D91" s="603">
        <v>0</v>
      </c>
      <c r="E91" s="605">
        <f t="shared" si="36"/>
        <v>0</v>
      </c>
      <c r="F91" s="1228"/>
      <c r="G91" s="1234">
        <v>0</v>
      </c>
      <c r="H91" s="603">
        <v>0</v>
      </c>
      <c r="I91" s="605">
        <f t="shared" si="37"/>
        <v>0</v>
      </c>
      <c r="J91" s="1228"/>
      <c r="K91" s="1234">
        <v>0</v>
      </c>
      <c r="L91" s="603">
        <v>0</v>
      </c>
      <c r="M91" s="605">
        <f t="shared" si="38"/>
        <v>0</v>
      </c>
      <c r="N91" s="1228"/>
      <c r="O91" s="1234">
        <v>0</v>
      </c>
      <c r="P91" s="603">
        <v>0</v>
      </c>
      <c r="Q91" s="605">
        <f t="shared" si="39"/>
        <v>0</v>
      </c>
      <c r="R91" s="1228"/>
      <c r="S91" s="605">
        <f t="shared" si="40"/>
        <v>0</v>
      </c>
      <c r="T91" s="605">
        <f t="shared" si="40"/>
        <v>0</v>
      </c>
      <c r="U91" s="605">
        <f t="shared" si="41"/>
        <v>0</v>
      </c>
    </row>
    <row r="92" spans="1:21" x14ac:dyDescent="0.35">
      <c r="A92" s="411" t="s">
        <v>352</v>
      </c>
      <c r="B92" s="450" t="s">
        <v>353</v>
      </c>
      <c r="C92" s="1234">
        <v>0</v>
      </c>
      <c r="D92" s="603">
        <v>0</v>
      </c>
      <c r="E92" s="605">
        <f t="shared" si="36"/>
        <v>0</v>
      </c>
      <c r="F92" s="1228"/>
      <c r="G92" s="1234">
        <v>0</v>
      </c>
      <c r="H92" s="603">
        <v>0</v>
      </c>
      <c r="I92" s="605">
        <f t="shared" si="37"/>
        <v>0</v>
      </c>
      <c r="J92" s="1228"/>
      <c r="K92" s="1234">
        <v>0</v>
      </c>
      <c r="L92" s="603">
        <v>0</v>
      </c>
      <c r="M92" s="605">
        <f t="shared" si="38"/>
        <v>0</v>
      </c>
      <c r="N92" s="1228"/>
      <c r="O92" s="1234">
        <v>0</v>
      </c>
      <c r="P92" s="603">
        <v>0</v>
      </c>
      <c r="Q92" s="605">
        <f t="shared" si="39"/>
        <v>0</v>
      </c>
      <c r="R92" s="1228"/>
      <c r="S92" s="605">
        <f t="shared" si="40"/>
        <v>0</v>
      </c>
      <c r="T92" s="605">
        <f t="shared" si="40"/>
        <v>0</v>
      </c>
      <c r="U92" s="605">
        <f t="shared" si="41"/>
        <v>0</v>
      </c>
    </row>
    <row r="93" spans="1:21" x14ac:dyDescent="0.35">
      <c r="A93" s="411" t="s">
        <v>354</v>
      </c>
      <c r="B93" s="450" t="s">
        <v>355</v>
      </c>
      <c r="C93" s="1234">
        <v>0</v>
      </c>
      <c r="D93" s="603">
        <v>0</v>
      </c>
      <c r="E93" s="605">
        <f t="shared" si="36"/>
        <v>0</v>
      </c>
      <c r="F93" s="1228"/>
      <c r="G93" s="1234">
        <v>0</v>
      </c>
      <c r="H93" s="603">
        <v>0</v>
      </c>
      <c r="I93" s="605">
        <f t="shared" si="37"/>
        <v>0</v>
      </c>
      <c r="J93" s="1228"/>
      <c r="K93" s="1234">
        <v>0</v>
      </c>
      <c r="L93" s="603">
        <v>0</v>
      </c>
      <c r="M93" s="605">
        <f t="shared" si="38"/>
        <v>0</v>
      </c>
      <c r="N93" s="1228"/>
      <c r="O93" s="1234">
        <v>0</v>
      </c>
      <c r="P93" s="603">
        <v>0</v>
      </c>
      <c r="Q93" s="605">
        <f t="shared" si="39"/>
        <v>0</v>
      </c>
      <c r="R93" s="1228"/>
      <c r="S93" s="605">
        <f t="shared" si="40"/>
        <v>0</v>
      </c>
      <c r="T93" s="605">
        <f t="shared" si="40"/>
        <v>0</v>
      </c>
      <c r="U93" s="605">
        <f t="shared" si="41"/>
        <v>0</v>
      </c>
    </row>
    <row r="94" spans="1:21" ht="15" thickBot="1" x14ac:dyDescent="0.4">
      <c r="A94" s="411" t="s">
        <v>356</v>
      </c>
      <c r="B94" s="450" t="s">
        <v>357</v>
      </c>
      <c r="C94" s="1236">
        <v>0</v>
      </c>
      <c r="D94" s="603">
        <v>0</v>
      </c>
      <c r="E94" s="605">
        <f t="shared" si="36"/>
        <v>0</v>
      </c>
      <c r="F94" s="1228"/>
      <c r="G94" s="1236">
        <v>0</v>
      </c>
      <c r="H94" s="603">
        <v>0</v>
      </c>
      <c r="I94" s="605">
        <f t="shared" si="37"/>
        <v>0</v>
      </c>
      <c r="J94" s="1228"/>
      <c r="K94" s="1236">
        <v>0</v>
      </c>
      <c r="L94" s="603">
        <v>0</v>
      </c>
      <c r="M94" s="605">
        <f t="shared" si="38"/>
        <v>0</v>
      </c>
      <c r="N94" s="1228"/>
      <c r="O94" s="1236">
        <v>0</v>
      </c>
      <c r="P94" s="603">
        <v>0</v>
      </c>
      <c r="Q94" s="605">
        <f t="shared" si="39"/>
        <v>0</v>
      </c>
      <c r="R94" s="1228"/>
      <c r="S94" s="605">
        <f t="shared" si="40"/>
        <v>0</v>
      </c>
      <c r="T94" s="605">
        <f t="shared" si="40"/>
        <v>0</v>
      </c>
      <c r="U94" s="605">
        <f t="shared" si="41"/>
        <v>0</v>
      </c>
    </row>
    <row r="95" spans="1:21" ht="15" thickBot="1" x14ac:dyDescent="0.4">
      <c r="A95" s="421">
        <v>85999</v>
      </c>
      <c r="B95" s="610" t="s">
        <v>358</v>
      </c>
      <c r="C95" s="1230">
        <f>C88+SUM(C90:C94)</f>
        <v>0</v>
      </c>
      <c r="D95" s="1231">
        <f>D88+SUM(D90:D94)</f>
        <v>0</v>
      </c>
      <c r="E95" s="612">
        <f t="shared" si="36"/>
        <v>0</v>
      </c>
      <c r="F95" s="1232"/>
      <c r="G95" s="1230">
        <f>G88+SUM(G90:G94)</f>
        <v>0</v>
      </c>
      <c r="H95" s="1231">
        <f>H88+SUM(H90:H94)</f>
        <v>0</v>
      </c>
      <c r="I95" s="612">
        <f t="shared" si="37"/>
        <v>0</v>
      </c>
      <c r="J95" s="1232"/>
      <c r="K95" s="1230">
        <f>K88+SUM(K90:K94)</f>
        <v>0</v>
      </c>
      <c r="L95" s="1231">
        <f>L88+SUM(L90:L94)</f>
        <v>0</v>
      </c>
      <c r="M95" s="612">
        <f t="shared" si="38"/>
        <v>0</v>
      </c>
      <c r="N95" s="1232"/>
      <c r="O95" s="1230">
        <f>O88+SUM(O90:O94)</f>
        <v>0</v>
      </c>
      <c r="P95" s="1231">
        <f>P88+SUM(P90:P94)</f>
        <v>0</v>
      </c>
      <c r="Q95" s="612">
        <f t="shared" si="39"/>
        <v>0</v>
      </c>
      <c r="R95" s="1232"/>
      <c r="S95" s="612">
        <f>C95+G95+K95+O95</f>
        <v>0</v>
      </c>
      <c r="T95" s="612">
        <f t="shared" si="40"/>
        <v>0</v>
      </c>
      <c r="U95" s="612">
        <f t="shared" si="41"/>
        <v>0</v>
      </c>
    </row>
    <row r="96" spans="1:21" x14ac:dyDescent="0.35">
      <c r="A96" s="399" t="s">
        <v>359</v>
      </c>
      <c r="B96" s="538"/>
      <c r="C96" s="1235"/>
      <c r="D96" s="1225"/>
      <c r="E96" s="605"/>
      <c r="F96" s="1226"/>
      <c r="G96" s="1235"/>
      <c r="H96" s="1225"/>
      <c r="I96" s="605"/>
      <c r="J96" s="1226"/>
      <c r="K96" s="1235"/>
      <c r="L96" s="1225"/>
      <c r="M96" s="605"/>
      <c r="N96" s="1226"/>
      <c r="O96" s="1235"/>
      <c r="P96" s="1225"/>
      <c r="Q96" s="605"/>
      <c r="R96" s="1226"/>
      <c r="S96" s="605"/>
      <c r="T96" s="605"/>
      <c r="U96" s="605"/>
    </row>
    <row r="97" spans="1:21" x14ac:dyDescent="0.35">
      <c r="A97" s="411" t="s">
        <v>360</v>
      </c>
      <c r="B97" s="450" t="s">
        <v>361</v>
      </c>
      <c r="C97" s="1234">
        <v>0</v>
      </c>
      <c r="D97" s="603">
        <v>0</v>
      </c>
      <c r="E97" s="605">
        <f t="shared" ref="E97:E117" si="42">C97+D97</f>
        <v>0</v>
      </c>
      <c r="F97" s="1228"/>
      <c r="G97" s="1234">
        <v>0</v>
      </c>
      <c r="H97" s="603">
        <v>0</v>
      </c>
      <c r="I97" s="605">
        <f t="shared" ref="I97:I117" si="43">G97+H97</f>
        <v>0</v>
      </c>
      <c r="J97" s="1228"/>
      <c r="K97" s="1234">
        <v>0</v>
      </c>
      <c r="L97" s="603">
        <v>0</v>
      </c>
      <c r="M97" s="605">
        <f t="shared" ref="M97:M117" si="44">K97+L97</f>
        <v>0</v>
      </c>
      <c r="N97" s="1228"/>
      <c r="O97" s="1234">
        <v>0</v>
      </c>
      <c r="P97" s="603">
        <v>0</v>
      </c>
      <c r="Q97" s="605">
        <f t="shared" ref="Q97:Q117" si="45">O97+P97</f>
        <v>0</v>
      </c>
      <c r="R97" s="1228"/>
      <c r="S97" s="605">
        <f t="shared" ref="S97:S117" si="46">C97+G97+K97+O97</f>
        <v>0</v>
      </c>
      <c r="T97" s="605">
        <f t="shared" ref="T97:T117" si="47">D97+H97+L97+P97</f>
        <v>0</v>
      </c>
      <c r="U97" s="605">
        <f t="shared" ref="U97:U117" si="48">S97+T97</f>
        <v>0</v>
      </c>
    </row>
    <row r="98" spans="1:21" x14ac:dyDescent="0.35">
      <c r="A98" s="411" t="s">
        <v>362</v>
      </c>
      <c r="B98" s="450" t="s">
        <v>363</v>
      </c>
      <c r="C98" s="1234">
        <v>0</v>
      </c>
      <c r="D98" s="603">
        <v>0</v>
      </c>
      <c r="E98" s="605">
        <f t="shared" si="42"/>
        <v>0</v>
      </c>
      <c r="F98" s="1228"/>
      <c r="G98" s="1234">
        <v>0</v>
      </c>
      <c r="H98" s="603">
        <v>0</v>
      </c>
      <c r="I98" s="605">
        <f t="shared" si="43"/>
        <v>0</v>
      </c>
      <c r="J98" s="1228"/>
      <c r="K98" s="1234">
        <v>0</v>
      </c>
      <c r="L98" s="603">
        <v>0</v>
      </c>
      <c r="M98" s="605">
        <f t="shared" si="44"/>
        <v>0</v>
      </c>
      <c r="N98" s="1228"/>
      <c r="O98" s="1234">
        <v>0</v>
      </c>
      <c r="P98" s="603">
        <v>0</v>
      </c>
      <c r="Q98" s="605">
        <f t="shared" si="45"/>
        <v>0</v>
      </c>
      <c r="R98" s="1228"/>
      <c r="S98" s="605">
        <f t="shared" si="46"/>
        <v>0</v>
      </c>
      <c r="T98" s="605">
        <f t="shared" si="47"/>
        <v>0</v>
      </c>
      <c r="U98" s="605">
        <f t="shared" si="48"/>
        <v>0</v>
      </c>
    </row>
    <row r="99" spans="1:21" x14ac:dyDescent="0.35">
      <c r="A99" s="411" t="s">
        <v>364</v>
      </c>
      <c r="B99" s="450" t="s">
        <v>365</v>
      </c>
      <c r="C99" s="1234">
        <v>0</v>
      </c>
      <c r="D99" s="603">
        <v>0</v>
      </c>
      <c r="E99" s="605">
        <f t="shared" si="42"/>
        <v>0</v>
      </c>
      <c r="F99" s="1228"/>
      <c r="G99" s="1234">
        <v>0</v>
      </c>
      <c r="H99" s="603">
        <v>0</v>
      </c>
      <c r="I99" s="605">
        <f t="shared" si="43"/>
        <v>0</v>
      </c>
      <c r="J99" s="1228"/>
      <c r="K99" s="1234">
        <v>0</v>
      </c>
      <c r="L99" s="603">
        <v>0</v>
      </c>
      <c r="M99" s="605">
        <f t="shared" si="44"/>
        <v>0</v>
      </c>
      <c r="N99" s="1228"/>
      <c r="O99" s="1234">
        <v>0</v>
      </c>
      <c r="P99" s="603">
        <v>0</v>
      </c>
      <c r="Q99" s="605">
        <f t="shared" si="45"/>
        <v>0</v>
      </c>
      <c r="R99" s="1228"/>
      <c r="S99" s="605">
        <f t="shared" si="46"/>
        <v>0</v>
      </c>
      <c r="T99" s="605">
        <f t="shared" si="47"/>
        <v>0</v>
      </c>
      <c r="U99" s="605">
        <f t="shared" si="48"/>
        <v>0</v>
      </c>
    </row>
    <row r="100" spans="1:21" x14ac:dyDescent="0.35">
      <c r="A100" s="411" t="s">
        <v>366</v>
      </c>
      <c r="B100" s="450" t="s">
        <v>367</v>
      </c>
      <c r="C100" s="1234">
        <v>0</v>
      </c>
      <c r="D100" s="603">
        <v>0</v>
      </c>
      <c r="E100" s="605">
        <f t="shared" si="42"/>
        <v>0</v>
      </c>
      <c r="F100" s="1228"/>
      <c r="G100" s="1234">
        <v>0</v>
      </c>
      <c r="H100" s="603">
        <v>0</v>
      </c>
      <c r="I100" s="605">
        <f t="shared" si="43"/>
        <v>0</v>
      </c>
      <c r="J100" s="1228"/>
      <c r="K100" s="1234">
        <v>0</v>
      </c>
      <c r="L100" s="603">
        <v>0</v>
      </c>
      <c r="M100" s="605">
        <f t="shared" si="44"/>
        <v>0</v>
      </c>
      <c r="N100" s="1228"/>
      <c r="O100" s="1234">
        <v>0</v>
      </c>
      <c r="P100" s="603">
        <v>0</v>
      </c>
      <c r="Q100" s="605">
        <f t="shared" si="45"/>
        <v>0</v>
      </c>
      <c r="R100" s="1228"/>
      <c r="S100" s="605">
        <f t="shared" si="46"/>
        <v>0</v>
      </c>
      <c r="T100" s="605">
        <f t="shared" si="47"/>
        <v>0</v>
      </c>
      <c r="U100" s="605">
        <f t="shared" si="48"/>
        <v>0</v>
      </c>
    </row>
    <row r="101" spans="1:21" x14ac:dyDescent="0.35">
      <c r="A101" s="411" t="s">
        <v>368</v>
      </c>
      <c r="B101" s="450" t="s">
        <v>369</v>
      </c>
      <c r="C101" s="1234">
        <v>0</v>
      </c>
      <c r="D101" s="603">
        <v>0</v>
      </c>
      <c r="E101" s="605">
        <f t="shared" si="42"/>
        <v>0</v>
      </c>
      <c r="F101" s="1228"/>
      <c r="G101" s="1234">
        <v>0</v>
      </c>
      <c r="H101" s="603">
        <v>0</v>
      </c>
      <c r="I101" s="605">
        <f t="shared" si="43"/>
        <v>0</v>
      </c>
      <c r="J101" s="1228"/>
      <c r="K101" s="1234">
        <v>0</v>
      </c>
      <c r="L101" s="603">
        <v>0</v>
      </c>
      <c r="M101" s="605">
        <f t="shared" si="44"/>
        <v>0</v>
      </c>
      <c r="N101" s="1228"/>
      <c r="O101" s="1234">
        <v>0</v>
      </c>
      <c r="P101" s="603">
        <v>0</v>
      </c>
      <c r="Q101" s="605">
        <f t="shared" si="45"/>
        <v>0</v>
      </c>
      <c r="R101" s="1228"/>
      <c r="S101" s="605">
        <f t="shared" si="46"/>
        <v>0</v>
      </c>
      <c r="T101" s="605">
        <f t="shared" si="47"/>
        <v>0</v>
      </c>
      <c r="U101" s="605">
        <f t="shared" si="48"/>
        <v>0</v>
      </c>
    </row>
    <row r="102" spans="1:21" x14ac:dyDescent="0.35">
      <c r="A102" s="411" t="s">
        <v>370</v>
      </c>
      <c r="B102" s="450" t="s">
        <v>371</v>
      </c>
      <c r="C102" s="1234">
        <v>0</v>
      </c>
      <c r="D102" s="603">
        <v>0</v>
      </c>
      <c r="E102" s="605">
        <f t="shared" si="42"/>
        <v>0</v>
      </c>
      <c r="F102" s="1228"/>
      <c r="G102" s="1234">
        <v>0</v>
      </c>
      <c r="H102" s="603">
        <v>0</v>
      </c>
      <c r="I102" s="605">
        <f t="shared" si="43"/>
        <v>0</v>
      </c>
      <c r="J102" s="1228"/>
      <c r="K102" s="1234">
        <v>0</v>
      </c>
      <c r="L102" s="603">
        <v>0</v>
      </c>
      <c r="M102" s="605">
        <f t="shared" si="44"/>
        <v>0</v>
      </c>
      <c r="N102" s="1228"/>
      <c r="O102" s="1234">
        <v>0</v>
      </c>
      <c r="P102" s="603">
        <v>0</v>
      </c>
      <c r="Q102" s="605">
        <f t="shared" si="45"/>
        <v>0</v>
      </c>
      <c r="R102" s="1228"/>
      <c r="S102" s="605">
        <f t="shared" si="46"/>
        <v>0</v>
      </c>
      <c r="T102" s="605">
        <f t="shared" si="47"/>
        <v>0</v>
      </c>
      <c r="U102" s="605">
        <f t="shared" si="48"/>
        <v>0</v>
      </c>
    </row>
    <row r="103" spans="1:21" x14ac:dyDescent="0.35">
      <c r="A103" s="411" t="s">
        <v>372</v>
      </c>
      <c r="B103" s="450" t="s">
        <v>373</v>
      </c>
      <c r="C103" s="1234">
        <v>0</v>
      </c>
      <c r="D103" s="603">
        <v>0</v>
      </c>
      <c r="E103" s="605">
        <f t="shared" si="42"/>
        <v>0</v>
      </c>
      <c r="F103" s="1228"/>
      <c r="G103" s="1234">
        <v>0</v>
      </c>
      <c r="H103" s="603">
        <v>0</v>
      </c>
      <c r="I103" s="605">
        <f t="shared" si="43"/>
        <v>0</v>
      </c>
      <c r="J103" s="1228"/>
      <c r="K103" s="1234">
        <v>0</v>
      </c>
      <c r="L103" s="603">
        <v>0</v>
      </c>
      <c r="M103" s="605">
        <f t="shared" si="44"/>
        <v>0</v>
      </c>
      <c r="N103" s="1228"/>
      <c r="O103" s="1234">
        <v>0</v>
      </c>
      <c r="P103" s="603">
        <v>0</v>
      </c>
      <c r="Q103" s="605">
        <f t="shared" si="45"/>
        <v>0</v>
      </c>
      <c r="R103" s="1228"/>
      <c r="S103" s="605">
        <f t="shared" si="46"/>
        <v>0</v>
      </c>
      <c r="T103" s="605">
        <f t="shared" si="47"/>
        <v>0</v>
      </c>
      <c r="U103" s="605">
        <f t="shared" si="48"/>
        <v>0</v>
      </c>
    </row>
    <row r="104" spans="1:21" x14ac:dyDescent="0.35">
      <c r="A104" s="411" t="s">
        <v>374</v>
      </c>
      <c r="B104" s="450" t="s">
        <v>375</v>
      </c>
      <c r="C104" s="1234">
        <v>0</v>
      </c>
      <c r="D104" s="603">
        <v>0</v>
      </c>
      <c r="E104" s="605">
        <f t="shared" si="42"/>
        <v>0</v>
      </c>
      <c r="F104" s="1228"/>
      <c r="G104" s="1234">
        <v>0</v>
      </c>
      <c r="H104" s="603">
        <v>0</v>
      </c>
      <c r="I104" s="605">
        <f t="shared" si="43"/>
        <v>0</v>
      </c>
      <c r="J104" s="1228"/>
      <c r="K104" s="1234">
        <v>0</v>
      </c>
      <c r="L104" s="603">
        <v>0</v>
      </c>
      <c r="M104" s="605">
        <f t="shared" si="44"/>
        <v>0</v>
      </c>
      <c r="N104" s="1228"/>
      <c r="O104" s="1234">
        <v>0</v>
      </c>
      <c r="P104" s="603">
        <v>0</v>
      </c>
      <c r="Q104" s="605">
        <f t="shared" si="45"/>
        <v>0</v>
      </c>
      <c r="R104" s="1228"/>
      <c r="S104" s="605">
        <f t="shared" si="46"/>
        <v>0</v>
      </c>
      <c r="T104" s="605">
        <f t="shared" si="47"/>
        <v>0</v>
      </c>
      <c r="U104" s="605">
        <f t="shared" si="48"/>
        <v>0</v>
      </c>
    </row>
    <row r="105" spans="1:21" x14ac:dyDescent="0.35">
      <c r="A105" s="411" t="s">
        <v>376</v>
      </c>
      <c r="B105" s="450" t="s">
        <v>377</v>
      </c>
      <c r="C105" s="1234">
        <v>0</v>
      </c>
      <c r="D105" s="603">
        <v>0</v>
      </c>
      <c r="E105" s="605">
        <f t="shared" si="42"/>
        <v>0</v>
      </c>
      <c r="F105" s="1228"/>
      <c r="G105" s="1234">
        <v>0</v>
      </c>
      <c r="H105" s="603">
        <v>0</v>
      </c>
      <c r="I105" s="605">
        <f t="shared" si="43"/>
        <v>0</v>
      </c>
      <c r="J105" s="1228"/>
      <c r="K105" s="1234">
        <v>0</v>
      </c>
      <c r="L105" s="603">
        <v>0</v>
      </c>
      <c r="M105" s="605">
        <f t="shared" si="44"/>
        <v>0</v>
      </c>
      <c r="N105" s="1228"/>
      <c r="O105" s="1234">
        <v>0</v>
      </c>
      <c r="P105" s="603">
        <v>0</v>
      </c>
      <c r="Q105" s="605">
        <f t="shared" si="45"/>
        <v>0</v>
      </c>
      <c r="R105" s="1228"/>
      <c r="S105" s="605">
        <f t="shared" si="46"/>
        <v>0</v>
      </c>
      <c r="T105" s="605">
        <f t="shared" si="47"/>
        <v>0</v>
      </c>
      <c r="U105" s="605">
        <f t="shared" si="48"/>
        <v>0</v>
      </c>
    </row>
    <row r="106" spans="1:21" x14ac:dyDescent="0.35">
      <c r="A106" s="411" t="s">
        <v>378</v>
      </c>
      <c r="B106" s="450" t="s">
        <v>379</v>
      </c>
      <c r="C106" s="1234">
        <v>0</v>
      </c>
      <c r="D106" s="603">
        <v>0</v>
      </c>
      <c r="E106" s="605">
        <f t="shared" si="42"/>
        <v>0</v>
      </c>
      <c r="F106" s="1228"/>
      <c r="G106" s="1234">
        <v>0</v>
      </c>
      <c r="H106" s="603">
        <v>0</v>
      </c>
      <c r="I106" s="605">
        <f t="shared" si="43"/>
        <v>0</v>
      </c>
      <c r="J106" s="1228"/>
      <c r="K106" s="1234">
        <v>0</v>
      </c>
      <c r="L106" s="603">
        <v>0</v>
      </c>
      <c r="M106" s="605">
        <f t="shared" si="44"/>
        <v>0</v>
      </c>
      <c r="N106" s="1228"/>
      <c r="O106" s="1234">
        <v>0</v>
      </c>
      <c r="P106" s="603">
        <v>0</v>
      </c>
      <c r="Q106" s="605">
        <f t="shared" si="45"/>
        <v>0</v>
      </c>
      <c r="R106" s="1228"/>
      <c r="S106" s="605">
        <f t="shared" si="46"/>
        <v>0</v>
      </c>
      <c r="T106" s="605">
        <f t="shared" si="47"/>
        <v>0</v>
      </c>
      <c r="U106" s="605">
        <f t="shared" si="48"/>
        <v>0</v>
      </c>
    </row>
    <row r="107" spans="1:21" x14ac:dyDescent="0.35">
      <c r="A107" s="411" t="s">
        <v>380</v>
      </c>
      <c r="B107" s="450" t="s">
        <v>381</v>
      </c>
      <c r="C107" s="1234">
        <v>0</v>
      </c>
      <c r="D107" s="603">
        <v>0</v>
      </c>
      <c r="E107" s="605">
        <f t="shared" si="42"/>
        <v>0</v>
      </c>
      <c r="F107" s="1228"/>
      <c r="G107" s="1234">
        <v>0</v>
      </c>
      <c r="H107" s="603">
        <v>0</v>
      </c>
      <c r="I107" s="605">
        <f t="shared" si="43"/>
        <v>0</v>
      </c>
      <c r="J107" s="1228"/>
      <c r="K107" s="1234">
        <v>0</v>
      </c>
      <c r="L107" s="603">
        <v>0</v>
      </c>
      <c r="M107" s="605">
        <f t="shared" si="44"/>
        <v>0</v>
      </c>
      <c r="N107" s="1228"/>
      <c r="O107" s="1234">
        <v>0</v>
      </c>
      <c r="P107" s="603">
        <v>0</v>
      </c>
      <c r="Q107" s="605">
        <f t="shared" si="45"/>
        <v>0</v>
      </c>
      <c r="R107" s="1228"/>
      <c r="S107" s="605">
        <f t="shared" si="46"/>
        <v>0</v>
      </c>
      <c r="T107" s="605">
        <f t="shared" si="47"/>
        <v>0</v>
      </c>
      <c r="U107" s="605">
        <f t="shared" si="48"/>
        <v>0</v>
      </c>
    </row>
    <row r="108" spans="1:21" x14ac:dyDescent="0.35">
      <c r="A108" s="411" t="s">
        <v>382</v>
      </c>
      <c r="B108" s="450" t="s">
        <v>383</v>
      </c>
      <c r="C108" s="1234">
        <v>0</v>
      </c>
      <c r="D108" s="603">
        <v>0</v>
      </c>
      <c r="E108" s="605">
        <f t="shared" si="42"/>
        <v>0</v>
      </c>
      <c r="F108" s="1228"/>
      <c r="G108" s="1234">
        <v>0</v>
      </c>
      <c r="H108" s="603">
        <v>0</v>
      </c>
      <c r="I108" s="605">
        <f t="shared" si="43"/>
        <v>0</v>
      </c>
      <c r="J108" s="1228"/>
      <c r="K108" s="1234">
        <v>0</v>
      </c>
      <c r="L108" s="603">
        <v>0</v>
      </c>
      <c r="M108" s="605">
        <f t="shared" si="44"/>
        <v>0</v>
      </c>
      <c r="N108" s="1228"/>
      <c r="O108" s="1234">
        <v>0</v>
      </c>
      <c r="P108" s="603">
        <v>0</v>
      </c>
      <c r="Q108" s="605">
        <f t="shared" si="45"/>
        <v>0</v>
      </c>
      <c r="R108" s="1228"/>
      <c r="S108" s="605">
        <f t="shared" si="46"/>
        <v>0</v>
      </c>
      <c r="T108" s="605">
        <f t="shared" si="47"/>
        <v>0</v>
      </c>
      <c r="U108" s="605">
        <f t="shared" si="48"/>
        <v>0</v>
      </c>
    </row>
    <row r="109" spans="1:21" x14ac:dyDescent="0.35">
      <c r="A109" s="411" t="s">
        <v>384</v>
      </c>
      <c r="B109" s="450" t="s">
        <v>385</v>
      </c>
      <c r="C109" s="1234">
        <v>0</v>
      </c>
      <c r="D109" s="603">
        <v>0</v>
      </c>
      <c r="E109" s="605">
        <f t="shared" si="42"/>
        <v>0</v>
      </c>
      <c r="F109" s="1228"/>
      <c r="G109" s="1234">
        <v>0</v>
      </c>
      <c r="H109" s="603">
        <v>0</v>
      </c>
      <c r="I109" s="605">
        <f t="shared" si="43"/>
        <v>0</v>
      </c>
      <c r="J109" s="1228"/>
      <c r="K109" s="1234">
        <v>0</v>
      </c>
      <c r="L109" s="603">
        <v>0</v>
      </c>
      <c r="M109" s="605">
        <f t="shared" si="44"/>
        <v>0</v>
      </c>
      <c r="N109" s="1228"/>
      <c r="O109" s="1234">
        <v>0</v>
      </c>
      <c r="P109" s="603">
        <v>0</v>
      </c>
      <c r="Q109" s="605">
        <f t="shared" si="45"/>
        <v>0</v>
      </c>
      <c r="R109" s="1228"/>
      <c r="S109" s="605">
        <f t="shared" si="46"/>
        <v>0</v>
      </c>
      <c r="T109" s="605">
        <f t="shared" si="47"/>
        <v>0</v>
      </c>
      <c r="U109" s="605">
        <f t="shared" si="48"/>
        <v>0</v>
      </c>
    </row>
    <row r="110" spans="1:21" x14ac:dyDescent="0.35">
      <c r="A110" s="411" t="s">
        <v>386</v>
      </c>
      <c r="B110" s="450" t="s">
        <v>387</v>
      </c>
      <c r="C110" s="1234">
        <v>0</v>
      </c>
      <c r="D110" s="603">
        <v>0</v>
      </c>
      <c r="E110" s="605">
        <f t="shared" si="42"/>
        <v>0</v>
      </c>
      <c r="F110" s="1228"/>
      <c r="G110" s="1234">
        <v>0</v>
      </c>
      <c r="H110" s="603">
        <v>0</v>
      </c>
      <c r="I110" s="605">
        <f t="shared" si="43"/>
        <v>0</v>
      </c>
      <c r="J110" s="1228"/>
      <c r="K110" s="1234">
        <v>0</v>
      </c>
      <c r="L110" s="603">
        <v>0</v>
      </c>
      <c r="M110" s="605">
        <f t="shared" si="44"/>
        <v>0</v>
      </c>
      <c r="N110" s="1228"/>
      <c r="O110" s="1234">
        <v>0</v>
      </c>
      <c r="P110" s="603">
        <v>0</v>
      </c>
      <c r="Q110" s="605">
        <f t="shared" si="45"/>
        <v>0</v>
      </c>
      <c r="R110" s="1228"/>
      <c r="S110" s="605">
        <f t="shared" si="46"/>
        <v>0</v>
      </c>
      <c r="T110" s="605">
        <f t="shared" si="47"/>
        <v>0</v>
      </c>
      <c r="U110" s="605">
        <f t="shared" si="48"/>
        <v>0</v>
      </c>
    </row>
    <row r="111" spans="1:21" x14ac:dyDescent="0.35">
      <c r="A111" s="411" t="s">
        <v>388</v>
      </c>
      <c r="B111" s="450" t="s">
        <v>389</v>
      </c>
      <c r="C111" s="1234">
        <v>0</v>
      </c>
      <c r="D111" s="603">
        <v>0</v>
      </c>
      <c r="E111" s="605">
        <f t="shared" si="42"/>
        <v>0</v>
      </c>
      <c r="F111" s="1228"/>
      <c r="G111" s="1234">
        <v>0</v>
      </c>
      <c r="H111" s="603">
        <v>0</v>
      </c>
      <c r="I111" s="605">
        <f t="shared" si="43"/>
        <v>0</v>
      </c>
      <c r="J111" s="1228"/>
      <c r="K111" s="1234">
        <v>0</v>
      </c>
      <c r="L111" s="603">
        <v>0</v>
      </c>
      <c r="M111" s="605">
        <f t="shared" si="44"/>
        <v>0</v>
      </c>
      <c r="N111" s="1228"/>
      <c r="O111" s="1234">
        <v>0</v>
      </c>
      <c r="P111" s="603">
        <v>0</v>
      </c>
      <c r="Q111" s="605">
        <f t="shared" si="45"/>
        <v>0</v>
      </c>
      <c r="R111" s="1228"/>
      <c r="S111" s="605">
        <f t="shared" si="46"/>
        <v>0</v>
      </c>
      <c r="T111" s="605">
        <f t="shared" si="47"/>
        <v>0</v>
      </c>
      <c r="U111" s="605">
        <f t="shared" si="48"/>
        <v>0</v>
      </c>
    </row>
    <row r="112" spans="1:21" x14ac:dyDescent="0.35">
      <c r="A112" s="411" t="s">
        <v>390</v>
      </c>
      <c r="B112" s="450" t="s">
        <v>391</v>
      </c>
      <c r="C112" s="1234">
        <v>0</v>
      </c>
      <c r="D112" s="603">
        <v>0</v>
      </c>
      <c r="E112" s="605">
        <f t="shared" si="42"/>
        <v>0</v>
      </c>
      <c r="F112" s="1228"/>
      <c r="G112" s="1234">
        <v>0</v>
      </c>
      <c r="H112" s="603">
        <v>0</v>
      </c>
      <c r="I112" s="605">
        <f t="shared" si="43"/>
        <v>0</v>
      </c>
      <c r="J112" s="1228"/>
      <c r="K112" s="1234">
        <v>0</v>
      </c>
      <c r="L112" s="603">
        <v>0</v>
      </c>
      <c r="M112" s="605">
        <f t="shared" si="44"/>
        <v>0</v>
      </c>
      <c r="N112" s="1228"/>
      <c r="O112" s="1234">
        <v>0</v>
      </c>
      <c r="P112" s="603">
        <v>0</v>
      </c>
      <c r="Q112" s="605">
        <f t="shared" si="45"/>
        <v>0</v>
      </c>
      <c r="R112" s="1228"/>
      <c r="S112" s="605">
        <f t="shared" si="46"/>
        <v>0</v>
      </c>
      <c r="T112" s="605">
        <f t="shared" si="47"/>
        <v>0</v>
      </c>
      <c r="U112" s="605">
        <f t="shared" si="48"/>
        <v>0</v>
      </c>
    </row>
    <row r="113" spans="1:21" x14ac:dyDescent="0.35">
      <c r="A113" s="411" t="s">
        <v>392</v>
      </c>
      <c r="B113" s="631" t="s">
        <v>393</v>
      </c>
      <c r="C113" s="1234">
        <v>0</v>
      </c>
      <c r="D113" s="603">
        <v>0</v>
      </c>
      <c r="E113" s="605">
        <f t="shared" si="42"/>
        <v>0</v>
      </c>
      <c r="F113" s="1228"/>
      <c r="G113" s="1234">
        <v>0</v>
      </c>
      <c r="H113" s="603">
        <v>0</v>
      </c>
      <c r="I113" s="605">
        <f t="shared" si="43"/>
        <v>0</v>
      </c>
      <c r="J113" s="1228"/>
      <c r="K113" s="1234">
        <v>0</v>
      </c>
      <c r="L113" s="603">
        <v>0</v>
      </c>
      <c r="M113" s="605">
        <f t="shared" si="44"/>
        <v>0</v>
      </c>
      <c r="N113" s="1228"/>
      <c r="O113" s="1234">
        <v>0</v>
      </c>
      <c r="P113" s="603">
        <v>0</v>
      </c>
      <c r="Q113" s="605">
        <f t="shared" si="45"/>
        <v>0</v>
      </c>
      <c r="R113" s="1228"/>
      <c r="S113" s="605">
        <f t="shared" si="46"/>
        <v>0</v>
      </c>
      <c r="T113" s="605">
        <f t="shared" si="47"/>
        <v>0</v>
      </c>
      <c r="U113" s="605">
        <f t="shared" si="48"/>
        <v>0</v>
      </c>
    </row>
    <row r="114" spans="1:21" x14ac:dyDescent="0.35">
      <c r="A114" s="411" t="s">
        <v>394</v>
      </c>
      <c r="B114" s="631" t="s">
        <v>395</v>
      </c>
      <c r="C114" s="1234">
        <v>0</v>
      </c>
      <c r="D114" s="603">
        <v>0</v>
      </c>
      <c r="E114" s="605">
        <f t="shared" si="42"/>
        <v>0</v>
      </c>
      <c r="F114" s="1228"/>
      <c r="G114" s="1234">
        <v>0</v>
      </c>
      <c r="H114" s="603">
        <v>0</v>
      </c>
      <c r="I114" s="605">
        <f t="shared" si="43"/>
        <v>0</v>
      </c>
      <c r="J114" s="1228"/>
      <c r="K114" s="1234">
        <v>0</v>
      </c>
      <c r="L114" s="603">
        <v>0</v>
      </c>
      <c r="M114" s="605">
        <f t="shared" si="44"/>
        <v>0</v>
      </c>
      <c r="N114" s="1228"/>
      <c r="O114" s="1234">
        <v>0</v>
      </c>
      <c r="P114" s="603">
        <v>0</v>
      </c>
      <c r="Q114" s="605">
        <f t="shared" si="45"/>
        <v>0</v>
      </c>
      <c r="R114" s="1228"/>
      <c r="S114" s="605">
        <f t="shared" si="46"/>
        <v>0</v>
      </c>
      <c r="T114" s="605">
        <f t="shared" si="47"/>
        <v>0</v>
      </c>
      <c r="U114" s="605">
        <f t="shared" si="48"/>
        <v>0</v>
      </c>
    </row>
    <row r="115" spans="1:21" x14ac:dyDescent="0.35">
      <c r="A115" s="411" t="s">
        <v>396</v>
      </c>
      <c r="B115" s="450" t="s">
        <v>397</v>
      </c>
      <c r="C115" s="1234">
        <v>0</v>
      </c>
      <c r="D115" s="603">
        <v>0</v>
      </c>
      <c r="E115" s="605">
        <f t="shared" si="42"/>
        <v>0</v>
      </c>
      <c r="F115" s="1228"/>
      <c r="G115" s="1234">
        <v>0</v>
      </c>
      <c r="H115" s="603">
        <v>0</v>
      </c>
      <c r="I115" s="605">
        <f t="shared" si="43"/>
        <v>0</v>
      </c>
      <c r="J115" s="1228"/>
      <c r="K115" s="1234">
        <v>0</v>
      </c>
      <c r="L115" s="603">
        <v>0</v>
      </c>
      <c r="M115" s="605">
        <f t="shared" si="44"/>
        <v>0</v>
      </c>
      <c r="N115" s="1228"/>
      <c r="O115" s="1234">
        <v>0</v>
      </c>
      <c r="P115" s="603">
        <v>0</v>
      </c>
      <c r="Q115" s="605">
        <f t="shared" si="45"/>
        <v>0</v>
      </c>
      <c r="R115" s="1228"/>
      <c r="S115" s="605">
        <f t="shared" si="46"/>
        <v>0</v>
      </c>
      <c r="T115" s="605">
        <f t="shared" si="47"/>
        <v>0</v>
      </c>
      <c r="U115" s="605">
        <f t="shared" si="48"/>
        <v>0</v>
      </c>
    </row>
    <row r="116" spans="1:21" ht="15" thickBot="1" x14ac:dyDescent="0.4">
      <c r="A116" s="411" t="s">
        <v>398</v>
      </c>
      <c r="B116" s="450" t="s">
        <v>399</v>
      </c>
      <c r="C116" s="1236">
        <v>0</v>
      </c>
      <c r="D116" s="603">
        <v>0</v>
      </c>
      <c r="E116" s="605">
        <f t="shared" si="42"/>
        <v>0</v>
      </c>
      <c r="F116" s="1228"/>
      <c r="G116" s="1236">
        <v>0</v>
      </c>
      <c r="H116" s="603">
        <v>0</v>
      </c>
      <c r="I116" s="605">
        <f t="shared" si="43"/>
        <v>0</v>
      </c>
      <c r="J116" s="1228"/>
      <c r="K116" s="1236">
        <v>0</v>
      </c>
      <c r="L116" s="603">
        <v>0</v>
      </c>
      <c r="M116" s="605">
        <f t="shared" si="44"/>
        <v>0</v>
      </c>
      <c r="N116" s="1228"/>
      <c r="O116" s="1236">
        <v>0</v>
      </c>
      <c r="P116" s="603">
        <v>0</v>
      </c>
      <c r="Q116" s="605">
        <f t="shared" si="45"/>
        <v>0</v>
      </c>
      <c r="R116" s="1228"/>
      <c r="S116" s="605">
        <f t="shared" si="46"/>
        <v>0</v>
      </c>
      <c r="T116" s="605">
        <f t="shared" si="47"/>
        <v>0</v>
      </c>
      <c r="U116" s="605">
        <f t="shared" si="48"/>
        <v>0</v>
      </c>
    </row>
    <row r="117" spans="1:21" ht="15" thickBot="1" x14ac:dyDescent="0.4">
      <c r="A117" s="421">
        <v>84999</v>
      </c>
      <c r="B117" s="610" t="s">
        <v>400</v>
      </c>
      <c r="C117" s="1230">
        <f>SUM(C97:C116)</f>
        <v>0</v>
      </c>
      <c r="D117" s="1231">
        <f>SUM(D97:D116)</f>
        <v>0</v>
      </c>
      <c r="E117" s="612">
        <f t="shared" si="42"/>
        <v>0</v>
      </c>
      <c r="F117" s="1232"/>
      <c r="G117" s="1230">
        <f>SUM(G97:G116)</f>
        <v>0</v>
      </c>
      <c r="H117" s="1231">
        <f>SUM(H97:H116)</f>
        <v>0</v>
      </c>
      <c r="I117" s="612">
        <f t="shared" si="43"/>
        <v>0</v>
      </c>
      <c r="J117" s="1232"/>
      <c r="K117" s="1230">
        <f>SUM(K97:K116)</f>
        <v>0</v>
      </c>
      <c r="L117" s="1231">
        <f>SUM(L97:L116)</f>
        <v>0</v>
      </c>
      <c r="M117" s="612">
        <f t="shared" si="44"/>
        <v>0</v>
      </c>
      <c r="N117" s="1232"/>
      <c r="O117" s="1230">
        <f>SUM(O97:O116)</f>
        <v>0</v>
      </c>
      <c r="P117" s="1231">
        <f>SUM(P97:P116)</f>
        <v>0</v>
      </c>
      <c r="Q117" s="612">
        <f t="shared" si="45"/>
        <v>0</v>
      </c>
      <c r="R117" s="1232"/>
      <c r="S117" s="612">
        <f t="shared" si="46"/>
        <v>0</v>
      </c>
      <c r="T117" s="612">
        <f t="shared" si="47"/>
        <v>0</v>
      </c>
      <c r="U117" s="612">
        <f t="shared" si="48"/>
        <v>0</v>
      </c>
    </row>
    <row r="118" spans="1:21" s="21" customFormat="1" x14ac:dyDescent="0.35">
      <c r="C118" s="1250"/>
      <c r="D118" s="1251"/>
      <c r="E118" s="1252"/>
      <c r="F118" s="1253"/>
      <c r="G118" s="1250"/>
      <c r="H118" s="1251"/>
      <c r="I118" s="1252"/>
      <c r="J118" s="1253"/>
      <c r="K118" s="1250"/>
      <c r="L118" s="1251"/>
      <c r="M118" s="1252"/>
      <c r="N118" s="1253"/>
      <c r="O118" s="1250"/>
      <c r="P118" s="1251"/>
      <c r="Q118" s="1252"/>
      <c r="R118" s="1253"/>
      <c r="S118" s="1252"/>
      <c r="T118" s="1252"/>
      <c r="U118" s="1252"/>
    </row>
    <row r="119" spans="1:21" s="21" customFormat="1" ht="15" thickBot="1" x14ac:dyDescent="0.4">
      <c r="A119" s="1351" t="s">
        <v>401</v>
      </c>
      <c r="B119" s="1352" t="s">
        <v>402</v>
      </c>
      <c r="C119" s="1234">
        <v>0</v>
      </c>
      <c r="D119" s="603">
        <v>0</v>
      </c>
      <c r="E119" s="605">
        <f>C119+D119</f>
        <v>0</v>
      </c>
      <c r="F119" s="1228"/>
      <c r="G119" s="1234">
        <v>0</v>
      </c>
      <c r="H119" s="603">
        <v>0</v>
      </c>
      <c r="I119" s="605">
        <f>G119+H119</f>
        <v>0</v>
      </c>
      <c r="J119" s="1228"/>
      <c r="K119" s="1234">
        <v>0</v>
      </c>
      <c r="L119" s="603">
        <v>0</v>
      </c>
      <c r="M119" s="605">
        <f>K119+L119</f>
        <v>0</v>
      </c>
      <c r="N119" s="1228"/>
      <c r="O119" s="1234">
        <v>0</v>
      </c>
      <c r="P119" s="603">
        <v>0</v>
      </c>
      <c r="Q119" s="605">
        <f>O119+P119</f>
        <v>0</v>
      </c>
      <c r="R119" s="1228"/>
      <c r="S119" s="605">
        <f>C119+G119+K119+O119</f>
        <v>0</v>
      </c>
      <c r="T119" s="605">
        <f>D119+H119+L119+P119</f>
        <v>0</v>
      </c>
      <c r="U119" s="605">
        <f>S119+T119</f>
        <v>0</v>
      </c>
    </row>
    <row r="120" spans="1:21" ht="15" thickBot="1" x14ac:dyDescent="0.4">
      <c r="A120" s="421">
        <v>86999</v>
      </c>
      <c r="B120" s="633" t="s">
        <v>403</v>
      </c>
      <c r="C120" s="1230">
        <f t="shared" ref="C120:U120" si="49">C95+C117+C119</f>
        <v>0</v>
      </c>
      <c r="D120" s="1231">
        <f t="shared" si="49"/>
        <v>0</v>
      </c>
      <c r="E120" s="612">
        <f t="shared" si="49"/>
        <v>0</v>
      </c>
      <c r="F120" s="1232">
        <f t="shared" si="49"/>
        <v>0</v>
      </c>
      <c r="G120" s="1230">
        <f t="shared" si="49"/>
        <v>0</v>
      </c>
      <c r="H120" s="1231">
        <f t="shared" si="49"/>
        <v>0</v>
      </c>
      <c r="I120" s="612">
        <f t="shared" si="49"/>
        <v>0</v>
      </c>
      <c r="J120" s="1232">
        <f t="shared" si="49"/>
        <v>0</v>
      </c>
      <c r="K120" s="1230">
        <f t="shared" si="49"/>
        <v>0</v>
      </c>
      <c r="L120" s="1231">
        <f t="shared" si="49"/>
        <v>0</v>
      </c>
      <c r="M120" s="612">
        <f t="shared" si="49"/>
        <v>0</v>
      </c>
      <c r="N120" s="1232">
        <f t="shared" si="49"/>
        <v>0</v>
      </c>
      <c r="O120" s="1230">
        <f t="shared" si="49"/>
        <v>0</v>
      </c>
      <c r="P120" s="1231">
        <f t="shared" si="49"/>
        <v>0</v>
      </c>
      <c r="Q120" s="612">
        <f t="shared" si="49"/>
        <v>0</v>
      </c>
      <c r="R120" s="1232">
        <f t="shared" si="49"/>
        <v>0</v>
      </c>
      <c r="S120" s="612">
        <f t="shared" si="49"/>
        <v>0</v>
      </c>
      <c r="T120" s="612">
        <f t="shared" si="49"/>
        <v>0</v>
      </c>
      <c r="U120" s="612">
        <f t="shared" si="49"/>
        <v>0</v>
      </c>
    </row>
    <row r="121" spans="1:21" s="21" customFormat="1" x14ac:dyDescent="0.35">
      <c r="C121" s="1250"/>
      <c r="D121" s="1251"/>
      <c r="E121" s="1252"/>
      <c r="F121" s="1253"/>
      <c r="G121" s="1250"/>
      <c r="H121" s="1251"/>
      <c r="I121" s="1252"/>
      <c r="J121" s="1253"/>
      <c r="K121" s="1250"/>
      <c r="L121" s="1251"/>
      <c r="M121" s="1252"/>
      <c r="N121" s="1253"/>
      <c r="O121" s="1250"/>
      <c r="P121" s="1251"/>
      <c r="Q121" s="1252"/>
      <c r="R121" s="1253"/>
      <c r="S121" s="1252"/>
      <c r="T121" s="1252"/>
      <c r="U121" s="1252"/>
    </row>
    <row r="122" spans="1:21" x14ac:dyDescent="0.35">
      <c r="A122" s="470">
        <v>87999</v>
      </c>
      <c r="B122" s="1254" t="s">
        <v>404</v>
      </c>
      <c r="C122" s="1255">
        <f>(C22-C19)-C120</f>
        <v>0</v>
      </c>
      <c r="D122" s="1256">
        <f>(D22-D19)-D120</f>
        <v>0</v>
      </c>
      <c r="E122" s="624">
        <f>(E22-E19)-E120</f>
        <v>0</v>
      </c>
      <c r="F122" s="1257"/>
      <c r="G122" s="1255">
        <f>(G22-G19)-G120</f>
        <v>0</v>
      </c>
      <c r="H122" s="1256">
        <f>(H22-H19)-H120</f>
        <v>0</v>
      </c>
      <c r="I122" s="624">
        <f>(I22-I19)-I120</f>
        <v>0</v>
      </c>
      <c r="J122" s="1257"/>
      <c r="K122" s="1255">
        <f>(K22-K19)-K120</f>
        <v>0</v>
      </c>
      <c r="L122" s="1256">
        <f>(L22-L19)-L120</f>
        <v>0</v>
      </c>
      <c r="M122" s="624">
        <f>(M22-M19)-M120</f>
        <v>0</v>
      </c>
      <c r="N122" s="1257"/>
      <c r="O122" s="1255">
        <f>(O22-O19)-O120</f>
        <v>0</v>
      </c>
      <c r="P122" s="1256">
        <f>(P22-P19)-P120</f>
        <v>0</v>
      </c>
      <c r="Q122" s="624">
        <f>(Q22-Q19)-Q120</f>
        <v>0</v>
      </c>
      <c r="R122" s="1257"/>
      <c r="S122" s="624">
        <f t="shared" ref="S122:T125" si="50">C122+G122+K122+O122</f>
        <v>0</v>
      </c>
      <c r="T122" s="624">
        <f t="shared" si="50"/>
        <v>0</v>
      </c>
      <c r="U122" s="624">
        <f>S122+T122</f>
        <v>0</v>
      </c>
    </row>
    <row r="123" spans="1:21" x14ac:dyDescent="0.35">
      <c r="A123" s="639" t="s">
        <v>405</v>
      </c>
      <c r="B123" s="1258" t="s">
        <v>406</v>
      </c>
      <c r="C123" s="1259">
        <f>C19</f>
        <v>0</v>
      </c>
      <c r="D123" s="1260">
        <f>D19</f>
        <v>0</v>
      </c>
      <c r="E123" s="605">
        <f>C123+D123</f>
        <v>0</v>
      </c>
      <c r="F123" s="1257"/>
      <c r="G123" s="1259">
        <f>G19</f>
        <v>0</v>
      </c>
      <c r="H123" s="1260">
        <f>H19</f>
        <v>0</v>
      </c>
      <c r="I123" s="605">
        <f>G123+H123</f>
        <v>0</v>
      </c>
      <c r="J123" s="1257"/>
      <c r="K123" s="1259">
        <f>K19</f>
        <v>0</v>
      </c>
      <c r="L123" s="1260">
        <f>L19</f>
        <v>0</v>
      </c>
      <c r="M123" s="605">
        <f>K123+L123</f>
        <v>0</v>
      </c>
      <c r="N123" s="1257"/>
      <c r="O123" s="1259">
        <f>O19</f>
        <v>0</v>
      </c>
      <c r="P123" s="1260">
        <f>P19</f>
        <v>0</v>
      </c>
      <c r="Q123" s="605">
        <f>O123+P123</f>
        <v>0</v>
      </c>
      <c r="R123" s="1257"/>
      <c r="S123" s="605">
        <f t="shared" si="50"/>
        <v>0</v>
      </c>
      <c r="T123" s="605">
        <f t="shared" si="50"/>
        <v>0</v>
      </c>
      <c r="U123" s="605">
        <f>S123+T123</f>
        <v>0</v>
      </c>
    </row>
    <row r="124" spans="1:21" x14ac:dyDescent="0.35">
      <c r="A124" s="639" t="s">
        <v>407</v>
      </c>
      <c r="B124" s="1258" t="s">
        <v>408</v>
      </c>
      <c r="C124" s="1234">
        <v>0</v>
      </c>
      <c r="D124" s="603">
        <v>0</v>
      </c>
      <c r="E124" s="605">
        <f>C124+D124</f>
        <v>0</v>
      </c>
      <c r="F124" s="1228"/>
      <c r="G124" s="1234">
        <v>0</v>
      </c>
      <c r="H124" s="603">
        <v>0</v>
      </c>
      <c r="I124" s="605">
        <f>G124+H124</f>
        <v>0</v>
      </c>
      <c r="J124" s="1228"/>
      <c r="K124" s="1234">
        <v>0</v>
      </c>
      <c r="L124" s="603">
        <v>0</v>
      </c>
      <c r="M124" s="605">
        <f>K124+L124</f>
        <v>0</v>
      </c>
      <c r="N124" s="1228"/>
      <c r="O124" s="1234">
        <v>0</v>
      </c>
      <c r="P124" s="603">
        <v>0</v>
      </c>
      <c r="Q124" s="605">
        <f>O124+P124</f>
        <v>0</v>
      </c>
      <c r="R124" s="1228"/>
      <c r="S124" s="605">
        <f t="shared" si="50"/>
        <v>0</v>
      </c>
      <c r="T124" s="605">
        <f t="shared" si="50"/>
        <v>0</v>
      </c>
      <c r="U124" s="605">
        <f>S124+T124</f>
        <v>0</v>
      </c>
    </row>
    <row r="125" spans="1:21" ht="13.5" customHeight="1" x14ac:dyDescent="0.35">
      <c r="A125" s="470">
        <v>88999</v>
      </c>
      <c r="B125" s="1254" t="s">
        <v>409</v>
      </c>
      <c r="C125" s="1255">
        <f>C123+C124</f>
        <v>0</v>
      </c>
      <c r="D125" s="1256">
        <f>D123+D124</f>
        <v>0</v>
      </c>
      <c r="E125" s="624">
        <f>C125+D125</f>
        <v>0</v>
      </c>
      <c r="F125" s="1257"/>
      <c r="G125" s="1255">
        <f>G123+G124</f>
        <v>0</v>
      </c>
      <c r="H125" s="1256">
        <f>H123+H124</f>
        <v>0</v>
      </c>
      <c r="I125" s="624">
        <f>G125+H125</f>
        <v>0</v>
      </c>
      <c r="J125" s="1257"/>
      <c r="K125" s="1255">
        <f>K123+K124</f>
        <v>0</v>
      </c>
      <c r="L125" s="1256">
        <f>L123+L124</f>
        <v>0</v>
      </c>
      <c r="M125" s="624">
        <f>K125+L125</f>
        <v>0</v>
      </c>
      <c r="N125" s="1257"/>
      <c r="O125" s="1255">
        <f>O123+O124</f>
        <v>0</v>
      </c>
      <c r="P125" s="1256">
        <f>P123+P124</f>
        <v>0</v>
      </c>
      <c r="Q125" s="624">
        <f>O125+P125</f>
        <v>0</v>
      </c>
      <c r="R125" s="1257"/>
      <c r="S125" s="624">
        <f t="shared" si="50"/>
        <v>0</v>
      </c>
      <c r="T125" s="624">
        <f t="shared" si="50"/>
        <v>0</v>
      </c>
      <c r="U125" s="624">
        <f>S125+T125</f>
        <v>0</v>
      </c>
    </row>
    <row r="126" spans="1:21" ht="13.5" customHeight="1" thickBot="1" x14ac:dyDescent="0.4">
      <c r="A126" s="493"/>
      <c r="B126" s="1261"/>
      <c r="C126" s="1262"/>
      <c r="D126" s="1263"/>
      <c r="E126" s="1264"/>
      <c r="F126" s="1226"/>
      <c r="G126" s="1262"/>
      <c r="H126" s="1263"/>
      <c r="I126" s="1264"/>
      <c r="J126" s="1226"/>
      <c r="K126" s="1262"/>
      <c r="L126" s="1263"/>
      <c r="M126" s="1264"/>
      <c r="N126" s="1226"/>
      <c r="O126" s="1262"/>
      <c r="P126" s="1263"/>
      <c r="Q126" s="1264"/>
      <c r="R126" s="1226"/>
      <c r="S126" s="1264"/>
      <c r="T126" s="1264"/>
      <c r="U126" s="1264"/>
    </row>
    <row r="127" spans="1:21" ht="15" thickBot="1" x14ac:dyDescent="0.4">
      <c r="A127" s="421">
        <v>89999</v>
      </c>
      <c r="B127" s="610" t="s">
        <v>410</v>
      </c>
      <c r="C127" s="1230">
        <f>C122+C125</f>
        <v>0</v>
      </c>
      <c r="D127" s="1231">
        <f>D122+D125</f>
        <v>0</v>
      </c>
      <c r="E127" s="612">
        <f>E122+E125</f>
        <v>0</v>
      </c>
      <c r="F127" s="1232"/>
      <c r="G127" s="1230">
        <f>G122+G125</f>
        <v>0</v>
      </c>
      <c r="H127" s="1231">
        <f>H122+H125</f>
        <v>0</v>
      </c>
      <c r="I127" s="612">
        <f>I122+I125</f>
        <v>0</v>
      </c>
      <c r="J127" s="1232"/>
      <c r="K127" s="1230">
        <f>K122+K125</f>
        <v>0</v>
      </c>
      <c r="L127" s="1231">
        <f>L122+L125</f>
        <v>0</v>
      </c>
      <c r="M127" s="612">
        <f>M122+M125</f>
        <v>0</v>
      </c>
      <c r="N127" s="1232"/>
      <c r="O127" s="1230">
        <f>O122+O125</f>
        <v>0</v>
      </c>
      <c r="P127" s="1231">
        <f>P122+P125</f>
        <v>0</v>
      </c>
      <c r="Q127" s="612">
        <f>Q122+Q125</f>
        <v>0</v>
      </c>
      <c r="R127" s="1232"/>
      <c r="S127" s="612">
        <f>C127+G127+K127+O127</f>
        <v>0</v>
      </c>
      <c r="T127" s="612">
        <f>D127+H127+L127+P127</f>
        <v>0</v>
      </c>
      <c r="U127" s="612">
        <f>S127+T127</f>
        <v>0</v>
      </c>
    </row>
    <row r="128" spans="1:21" x14ac:dyDescent="0.35">
      <c r="A128" s="411"/>
      <c r="B128" s="450"/>
      <c r="C128" s="1234"/>
      <c r="D128" s="603"/>
      <c r="E128" s="605"/>
      <c r="F128" s="1228"/>
      <c r="G128" s="1234"/>
      <c r="H128" s="603"/>
      <c r="I128" s="605"/>
      <c r="J128" s="1228"/>
      <c r="K128" s="1234"/>
      <c r="L128" s="603"/>
      <c r="M128" s="605"/>
      <c r="N128" s="1228"/>
      <c r="O128" s="1234"/>
      <c r="P128" s="603"/>
      <c r="Q128" s="605"/>
      <c r="R128" s="1228"/>
      <c r="S128" s="605"/>
      <c r="T128" s="605"/>
      <c r="U128" s="605"/>
    </row>
    <row r="129" spans="1:21" x14ac:dyDescent="0.35">
      <c r="A129" s="411" t="s">
        <v>411</v>
      </c>
      <c r="B129" s="450" t="s">
        <v>412</v>
      </c>
      <c r="C129" s="1234">
        <v>0</v>
      </c>
      <c r="D129" s="603">
        <v>0</v>
      </c>
      <c r="E129" s="605">
        <f>C129+D129</f>
        <v>0</v>
      </c>
      <c r="F129" s="1228"/>
      <c r="G129" s="1234">
        <v>0</v>
      </c>
      <c r="H129" s="603">
        <v>0</v>
      </c>
      <c r="I129" s="605">
        <f>G129+H129</f>
        <v>0</v>
      </c>
      <c r="J129" s="1228"/>
      <c r="K129" s="1234">
        <v>0</v>
      </c>
      <c r="L129" s="603">
        <v>0</v>
      </c>
      <c r="M129" s="605">
        <f>K129+L129</f>
        <v>0</v>
      </c>
      <c r="N129" s="1228"/>
      <c r="O129" s="1234">
        <v>0</v>
      </c>
      <c r="P129" s="603">
        <v>0</v>
      </c>
      <c r="Q129" s="605">
        <f>O129+P129</f>
        <v>0</v>
      </c>
      <c r="R129" s="1228"/>
      <c r="S129" s="605">
        <f>C129+G129+K129+O129</f>
        <v>0</v>
      </c>
      <c r="T129" s="605">
        <f>D129+H129+L129+P129</f>
        <v>0</v>
      </c>
      <c r="U129" s="605">
        <f>S129+T129</f>
        <v>0</v>
      </c>
    </row>
    <row r="130" spans="1:21" ht="15" thickBot="1" x14ac:dyDescent="0.4">
      <c r="A130" s="458"/>
      <c r="B130" s="450"/>
      <c r="C130" s="1249"/>
      <c r="D130" s="1225"/>
      <c r="E130" s="605"/>
      <c r="F130" s="1226"/>
      <c r="G130" s="1249"/>
      <c r="H130" s="1225"/>
      <c r="I130" s="605"/>
      <c r="J130" s="1226"/>
      <c r="K130" s="1249"/>
      <c r="L130" s="1225"/>
      <c r="M130" s="605"/>
      <c r="N130" s="1226"/>
      <c r="O130" s="1249"/>
      <c r="P130" s="1225"/>
      <c r="Q130" s="605"/>
      <c r="R130" s="1226"/>
      <c r="S130" s="605"/>
      <c r="T130" s="605"/>
      <c r="U130" s="605"/>
    </row>
    <row r="131" spans="1:21" ht="15" thickBot="1" x14ac:dyDescent="0.4">
      <c r="A131" s="421">
        <v>99999</v>
      </c>
      <c r="B131" s="610" t="s">
        <v>413</v>
      </c>
      <c r="C131" s="1230">
        <f>C127-C129</f>
        <v>0</v>
      </c>
      <c r="D131" s="1231">
        <f t="shared" ref="D131:U131" si="51">D127-D129</f>
        <v>0</v>
      </c>
      <c r="E131" s="612">
        <f t="shared" si="51"/>
        <v>0</v>
      </c>
      <c r="F131" s="1232">
        <f t="shared" si="51"/>
        <v>0</v>
      </c>
      <c r="G131" s="1230">
        <f t="shared" si="51"/>
        <v>0</v>
      </c>
      <c r="H131" s="1231">
        <f t="shared" si="51"/>
        <v>0</v>
      </c>
      <c r="I131" s="612">
        <f t="shared" si="51"/>
        <v>0</v>
      </c>
      <c r="J131" s="1232">
        <f t="shared" si="51"/>
        <v>0</v>
      </c>
      <c r="K131" s="1230">
        <f t="shared" si="51"/>
        <v>0</v>
      </c>
      <c r="L131" s="1231">
        <f t="shared" si="51"/>
        <v>0</v>
      </c>
      <c r="M131" s="612">
        <f t="shared" si="51"/>
        <v>0</v>
      </c>
      <c r="N131" s="1232">
        <f t="shared" si="51"/>
        <v>0</v>
      </c>
      <c r="O131" s="1230">
        <f t="shared" si="51"/>
        <v>0</v>
      </c>
      <c r="P131" s="1231">
        <f t="shared" si="51"/>
        <v>0</v>
      </c>
      <c r="Q131" s="612">
        <f t="shared" si="51"/>
        <v>0</v>
      </c>
      <c r="R131" s="1232">
        <f t="shared" si="51"/>
        <v>0</v>
      </c>
      <c r="S131" s="612">
        <f t="shared" si="51"/>
        <v>0</v>
      </c>
      <c r="T131" s="612">
        <f t="shared" si="51"/>
        <v>0</v>
      </c>
      <c r="U131" s="612">
        <f t="shared" si="51"/>
        <v>0</v>
      </c>
    </row>
    <row r="132" spans="1:21" ht="14.25" customHeight="1" x14ac:dyDescent="0.35">
      <c r="A132" s="458"/>
      <c r="B132" s="450"/>
      <c r="C132" s="1249"/>
      <c r="D132" s="1225"/>
      <c r="E132" s="605"/>
      <c r="F132" s="1226"/>
      <c r="G132" s="1249"/>
      <c r="H132" s="1225"/>
      <c r="I132" s="605"/>
      <c r="J132" s="1226"/>
      <c r="K132" s="1249"/>
      <c r="L132" s="1225"/>
      <c r="M132" s="605"/>
      <c r="N132" s="1226"/>
      <c r="O132" s="1249"/>
      <c r="P132" s="1225"/>
      <c r="Q132" s="605"/>
      <c r="R132" s="1226"/>
      <c r="S132" s="605"/>
      <c r="T132" s="605"/>
      <c r="U132" s="605"/>
    </row>
    <row r="133" spans="1:21" x14ac:dyDescent="0.35">
      <c r="A133" s="411" t="s">
        <v>414</v>
      </c>
      <c r="B133" s="450" t="s">
        <v>415</v>
      </c>
      <c r="C133" s="1234">
        <v>0</v>
      </c>
      <c r="D133" s="603">
        <v>0</v>
      </c>
      <c r="E133" s="605">
        <f>C133+D133</f>
        <v>0</v>
      </c>
      <c r="F133" s="1228"/>
      <c r="G133" s="1234">
        <v>0</v>
      </c>
      <c r="H133" s="603">
        <v>0</v>
      </c>
      <c r="I133" s="605">
        <f>G133+H133</f>
        <v>0</v>
      </c>
      <c r="J133" s="1228"/>
      <c r="K133" s="1234">
        <v>0</v>
      </c>
      <c r="L133" s="603">
        <v>0</v>
      </c>
      <c r="M133" s="605">
        <f>K133+L133</f>
        <v>0</v>
      </c>
      <c r="N133" s="1228"/>
      <c r="O133" s="1234">
        <v>0</v>
      </c>
      <c r="P133" s="603">
        <v>0</v>
      </c>
      <c r="Q133" s="605">
        <f>O133+P133</f>
        <v>0</v>
      </c>
      <c r="R133" s="1228"/>
      <c r="S133" s="605">
        <f t="shared" ref="S133:T136" si="52">C133+G133+K133+O133</f>
        <v>0</v>
      </c>
      <c r="T133" s="605">
        <f t="shared" si="52"/>
        <v>0</v>
      </c>
      <c r="U133" s="605">
        <f>S133+T133</f>
        <v>0</v>
      </c>
    </row>
    <row r="134" spans="1:21" x14ac:dyDescent="0.35">
      <c r="A134" s="411" t="s">
        <v>416</v>
      </c>
      <c r="B134" s="538" t="s">
        <v>417</v>
      </c>
      <c r="C134" s="1234">
        <v>0</v>
      </c>
      <c r="D134" s="603">
        <v>0</v>
      </c>
      <c r="E134" s="605">
        <f>C134+D134</f>
        <v>0</v>
      </c>
      <c r="F134" s="1228"/>
      <c r="G134" s="1234">
        <v>0</v>
      </c>
      <c r="H134" s="603">
        <v>0</v>
      </c>
      <c r="I134" s="605">
        <f>G134+H134</f>
        <v>0</v>
      </c>
      <c r="J134" s="1228"/>
      <c r="K134" s="1234">
        <v>0</v>
      </c>
      <c r="L134" s="603">
        <v>0</v>
      </c>
      <c r="M134" s="605">
        <f>K134+L134</f>
        <v>0</v>
      </c>
      <c r="N134" s="1228"/>
      <c r="O134" s="1234">
        <v>0</v>
      </c>
      <c r="P134" s="603">
        <v>0</v>
      </c>
      <c r="Q134" s="605">
        <f>O134+P134</f>
        <v>0</v>
      </c>
      <c r="R134" s="1228"/>
      <c r="S134" s="605">
        <f t="shared" si="52"/>
        <v>0</v>
      </c>
      <c r="T134" s="605">
        <f t="shared" si="52"/>
        <v>0</v>
      </c>
      <c r="U134" s="605">
        <f>S134+T134</f>
        <v>0</v>
      </c>
    </row>
    <row r="135" spans="1:21" x14ac:dyDescent="0.35">
      <c r="A135" s="411" t="s">
        <v>418</v>
      </c>
      <c r="B135" s="538" t="s">
        <v>419</v>
      </c>
      <c r="C135" s="1234">
        <v>0</v>
      </c>
      <c r="D135" s="603">
        <v>0</v>
      </c>
      <c r="E135" s="605">
        <f>C135+D135</f>
        <v>0</v>
      </c>
      <c r="F135" s="1228"/>
      <c r="G135" s="1234">
        <v>0</v>
      </c>
      <c r="H135" s="603">
        <v>0</v>
      </c>
      <c r="I135" s="605">
        <f>G135+H135</f>
        <v>0</v>
      </c>
      <c r="J135" s="1228"/>
      <c r="K135" s="1234">
        <v>0</v>
      </c>
      <c r="L135" s="603">
        <v>0</v>
      </c>
      <c r="M135" s="605">
        <f>K135+L135</f>
        <v>0</v>
      </c>
      <c r="N135" s="1228"/>
      <c r="O135" s="1234">
        <v>0</v>
      </c>
      <c r="P135" s="603">
        <v>0</v>
      </c>
      <c r="Q135" s="605">
        <f>O135+P135</f>
        <v>0</v>
      </c>
      <c r="R135" s="1228"/>
      <c r="S135" s="605">
        <f t="shared" si="52"/>
        <v>0</v>
      </c>
      <c r="T135" s="605">
        <f t="shared" si="52"/>
        <v>0</v>
      </c>
      <c r="U135" s="605">
        <f>S135+T135</f>
        <v>0</v>
      </c>
    </row>
    <row r="136" spans="1:21" x14ac:dyDescent="0.35">
      <c r="A136" s="411" t="s">
        <v>420</v>
      </c>
      <c r="B136" s="538" t="s">
        <v>421</v>
      </c>
      <c r="C136" s="1234">
        <v>0</v>
      </c>
      <c r="D136" s="603">
        <v>0</v>
      </c>
      <c r="E136" s="605">
        <f>C136+D136</f>
        <v>0</v>
      </c>
      <c r="F136" s="1228"/>
      <c r="G136" s="1234">
        <v>0</v>
      </c>
      <c r="H136" s="603">
        <v>0</v>
      </c>
      <c r="I136" s="605">
        <f>G136+H136</f>
        <v>0</v>
      </c>
      <c r="J136" s="1228"/>
      <c r="K136" s="1234">
        <v>0</v>
      </c>
      <c r="L136" s="603">
        <v>0</v>
      </c>
      <c r="M136" s="605">
        <f>K136+L136</f>
        <v>0</v>
      </c>
      <c r="N136" s="1228"/>
      <c r="O136" s="1234">
        <v>0</v>
      </c>
      <c r="P136" s="603">
        <v>0</v>
      </c>
      <c r="Q136" s="605">
        <f>O136+P136</f>
        <v>0</v>
      </c>
      <c r="R136" s="1228"/>
      <c r="S136" s="605">
        <f t="shared" si="52"/>
        <v>0</v>
      </c>
      <c r="T136" s="605">
        <f t="shared" si="52"/>
        <v>0</v>
      </c>
      <c r="U136" s="605">
        <f>S136+T136</f>
        <v>0</v>
      </c>
    </row>
    <row r="137" spans="1:21" ht="15" thickBot="1" x14ac:dyDescent="0.4">
      <c r="A137" s="458"/>
      <c r="B137" s="450"/>
      <c r="C137" s="1249"/>
      <c r="D137" s="1225"/>
      <c r="E137" s="605"/>
      <c r="F137" s="1226"/>
      <c r="G137" s="1249"/>
      <c r="H137" s="1225"/>
      <c r="I137" s="605"/>
      <c r="J137" s="1226"/>
      <c r="K137" s="1249"/>
      <c r="L137" s="1225"/>
      <c r="M137" s="605"/>
      <c r="N137" s="1226"/>
      <c r="O137" s="1249"/>
      <c r="P137" s="1225"/>
      <c r="Q137" s="605"/>
      <c r="R137" s="1226"/>
      <c r="S137" s="605"/>
      <c r="T137" s="605"/>
      <c r="U137" s="605"/>
    </row>
    <row r="138" spans="1:21" ht="15" thickBot="1" x14ac:dyDescent="0.4">
      <c r="A138" s="421">
        <v>999999</v>
      </c>
      <c r="B138" s="610" t="s">
        <v>422</v>
      </c>
      <c r="C138" s="1230">
        <f>C131-C133-C134-C135-C136</f>
        <v>0</v>
      </c>
      <c r="D138" s="1231">
        <f>D131-D133-D134-D135-D136</f>
        <v>0</v>
      </c>
      <c r="E138" s="612">
        <f>E131-E133-E134-E135-E136</f>
        <v>0</v>
      </c>
      <c r="F138" s="1232"/>
      <c r="G138" s="1230">
        <f>G131-G133-G134-G135-G136</f>
        <v>0</v>
      </c>
      <c r="H138" s="1231">
        <f>H131-H133-H134-H135-H136</f>
        <v>0</v>
      </c>
      <c r="I138" s="612">
        <f>I131-I133-I134-I135-I136</f>
        <v>0</v>
      </c>
      <c r="J138" s="1232"/>
      <c r="K138" s="1230">
        <f>K131-K133-K134-K135-K136</f>
        <v>0</v>
      </c>
      <c r="L138" s="1231">
        <f>L131-L133-L134-L135-L136</f>
        <v>0</v>
      </c>
      <c r="M138" s="612">
        <f>M131-M133-M134-M135-M136</f>
        <v>0</v>
      </c>
      <c r="N138" s="1232"/>
      <c r="O138" s="1230">
        <f>O131-O133-O134-O135-O136</f>
        <v>0</v>
      </c>
      <c r="P138" s="1231">
        <f>P131-P133-P134-P135-P136</f>
        <v>0</v>
      </c>
      <c r="Q138" s="612">
        <f>Q131-Q133-Q134-Q135-Q136</f>
        <v>0</v>
      </c>
      <c r="R138" s="1232"/>
      <c r="S138" s="612">
        <f>S131-S133-S134-S135-S136</f>
        <v>0</v>
      </c>
      <c r="T138" s="612">
        <f>T131-T133-T134-T135-T136</f>
        <v>0</v>
      </c>
      <c r="U138" s="612">
        <f>U131-U133-U134-U135-U136</f>
        <v>0</v>
      </c>
    </row>
  </sheetData>
  <printOptions gridLinesSet="0"/>
  <pageMargins left="0.22" right="0.17" top="0.3" bottom="1" header="0.17" footer="0.5"/>
  <pageSetup scale="30" orientation="portrait" r:id="rId1"/>
  <headerFooter alignWithMargins="0">
    <oddFooter>&amp;L&amp;Z&amp;F&amp;A</oddFooter>
  </headerFooter>
  <rowBreaks count="1" manualBreakCount="1">
    <brk id="64"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B631-BEFF-4507-B4C3-DEE54443089C}">
  <sheetPr>
    <pageSetUpPr fitToPage="1"/>
  </sheetPr>
  <dimension ref="A1:O387"/>
  <sheetViews>
    <sheetView showGridLines="0" topLeftCell="A151" zoomScaleNormal="100" zoomScaleSheetLayoutView="90" workbookViewId="0">
      <selection activeCell="E187" sqref="E187"/>
    </sheetView>
  </sheetViews>
  <sheetFormatPr defaultColWidth="9.1796875" defaultRowHeight="14.5" x14ac:dyDescent="0.35"/>
  <cols>
    <col min="1" max="1" width="6.54296875" style="10" customWidth="1"/>
    <col min="2" max="2" width="9.1796875" style="10" customWidth="1"/>
    <col min="3" max="3" width="40" style="10" customWidth="1"/>
    <col min="4" max="4" width="39" style="10" customWidth="1"/>
    <col min="5" max="5" width="28.54296875" style="10" customWidth="1"/>
    <col min="6" max="6" width="21.7265625" style="10" customWidth="1"/>
    <col min="7" max="7" width="18.81640625" style="10" customWidth="1"/>
    <col min="8" max="8" width="16.453125" style="10" customWidth="1"/>
    <col min="9" max="9" width="21.453125" style="10" bestFit="1" customWidth="1"/>
    <col min="10" max="10" width="18.1796875" style="10" bestFit="1" customWidth="1"/>
    <col min="11" max="11" width="13.1796875" style="10" bestFit="1" customWidth="1"/>
    <col min="12" max="12" width="16" style="10" customWidth="1"/>
    <col min="13" max="13" width="14" style="10" customWidth="1"/>
    <col min="14" max="15" width="16.7265625" style="10" customWidth="1"/>
    <col min="16" max="16" width="9.1796875" style="10"/>
    <col min="17" max="17" width="29.453125" style="10" bestFit="1" customWidth="1"/>
    <col min="18" max="16384" width="9.1796875" style="10"/>
  </cols>
  <sheetData>
    <row r="1" spans="1:12" ht="15" thickBot="1" x14ac:dyDescent="0.4">
      <c r="A1" s="1468" t="s">
        <v>423</v>
      </c>
      <c r="B1" s="1469"/>
      <c r="C1" s="1469"/>
      <c r="D1" s="1470"/>
      <c r="E1" s="1470"/>
      <c r="F1" s="1470"/>
      <c r="G1" s="1470"/>
      <c r="H1" s="1470"/>
      <c r="I1" s="1470"/>
      <c r="J1" s="1470"/>
      <c r="K1" s="1470"/>
      <c r="L1" s="1471"/>
    </row>
    <row r="2" spans="1:12" x14ac:dyDescent="0.35">
      <c r="A2" s="2215" t="s">
        <v>45</v>
      </c>
      <c r="B2" s="2215"/>
      <c r="C2" s="8" t="str">
        <f>'Instruction &amp; Audit Report B '!C20</f>
        <v>Select Contractor Name</v>
      </c>
    </row>
    <row r="3" spans="1:12" x14ac:dyDescent="0.35">
      <c r="A3" s="2216" t="s">
        <v>424</v>
      </c>
      <c r="B3" s="2216"/>
      <c r="C3" s="862" t="str">
        <f>'Instruction &amp; Audit Report B '!C21</f>
        <v>mm/dd/yyyy</v>
      </c>
    </row>
    <row r="4" spans="1:12" x14ac:dyDescent="0.35">
      <c r="A4" s="8"/>
    </row>
    <row r="5" spans="1:12" x14ac:dyDescent="0.35">
      <c r="A5" s="8" t="s">
        <v>425</v>
      </c>
    </row>
    <row r="6" spans="1:12" x14ac:dyDescent="0.35">
      <c r="A6" s="8"/>
    </row>
    <row r="7" spans="1:12" x14ac:dyDescent="0.35">
      <c r="A7" s="1010" t="s">
        <v>426</v>
      </c>
    </row>
    <row r="8" spans="1:12" x14ac:dyDescent="0.35">
      <c r="A8" s="1010" t="s">
        <v>427</v>
      </c>
    </row>
    <row r="9" spans="1:12" x14ac:dyDescent="0.35">
      <c r="A9" s="1010" t="s">
        <v>428</v>
      </c>
    </row>
    <row r="10" spans="1:12" x14ac:dyDescent="0.35">
      <c r="A10" s="1010" t="s">
        <v>429</v>
      </c>
    </row>
    <row r="11" spans="1:12" x14ac:dyDescent="0.35">
      <c r="A11" s="1010" t="s">
        <v>430</v>
      </c>
    </row>
    <row r="13" spans="1:12" x14ac:dyDescent="0.35">
      <c r="A13" s="8" t="s">
        <v>431</v>
      </c>
    </row>
    <row r="14" spans="1:12" x14ac:dyDescent="0.35">
      <c r="A14" s="8"/>
    </row>
    <row r="15" spans="1:12" x14ac:dyDescent="0.35">
      <c r="A15" s="8"/>
      <c r="B15" s="10" t="s">
        <v>432</v>
      </c>
    </row>
    <row r="16" spans="1:12" x14ac:dyDescent="0.35">
      <c r="A16" s="8"/>
    </row>
    <row r="17" spans="1:12" x14ac:dyDescent="0.35">
      <c r="A17" s="8"/>
    </row>
    <row r="18" spans="1:12" x14ac:dyDescent="0.35">
      <c r="A18" s="8" t="s">
        <v>433</v>
      </c>
    </row>
    <row r="19" spans="1:12" x14ac:dyDescent="0.35">
      <c r="A19" s="8"/>
    </row>
    <row r="20" spans="1:12" x14ac:dyDescent="0.35">
      <c r="B20" s="2006" t="s">
        <v>434</v>
      </c>
      <c r="G20" s="1044" t="s">
        <v>435</v>
      </c>
    </row>
    <row r="21" spans="1:12" s="9" customFormat="1" x14ac:dyDescent="0.35">
      <c r="A21" s="2006"/>
      <c r="B21" s="2006"/>
      <c r="C21" s="2006"/>
      <c r="D21" s="2006"/>
      <c r="E21" s="2006"/>
      <c r="F21" s="2006"/>
      <c r="G21" s="2006"/>
      <c r="H21" s="2006"/>
      <c r="I21" s="2006"/>
      <c r="J21" s="2006"/>
      <c r="K21" s="2006"/>
      <c r="L21" s="2006"/>
    </row>
    <row r="22" spans="1:12" ht="15" thickBot="1" x14ac:dyDescent="0.4">
      <c r="A22" s="8"/>
      <c r="C22" s="1045" t="str">
        <f>IF(G20="Yes","Please provide a detailed explanation of the changes in accounting methodologies:",IF(G20="No","No explanation required",""))</f>
        <v/>
      </c>
    </row>
    <row r="23" spans="1:12" ht="15" thickBot="1" x14ac:dyDescent="0.4">
      <c r="A23" s="8"/>
      <c r="C23" s="2195"/>
      <c r="D23" s="2196"/>
      <c r="E23" s="2196"/>
      <c r="F23" s="2196"/>
      <c r="G23" s="2196"/>
      <c r="H23" s="2196"/>
      <c r="I23" s="2196"/>
      <c r="J23" s="2196"/>
      <c r="K23" s="2196"/>
      <c r="L23" s="2197"/>
    </row>
    <row r="24" spans="1:12" x14ac:dyDescent="0.35">
      <c r="A24" s="8"/>
      <c r="C24" s="1046"/>
      <c r="D24" s="1046"/>
      <c r="E24" s="1046"/>
      <c r="F24" s="1046"/>
      <c r="G24" s="1046"/>
      <c r="H24" s="1046"/>
      <c r="I24" s="1046"/>
      <c r="J24" s="1046"/>
      <c r="K24" s="1046"/>
      <c r="L24" s="1046"/>
    </row>
    <row r="25" spans="1:12" x14ac:dyDescent="0.35">
      <c r="A25" s="8"/>
      <c r="B25" s="10" t="s">
        <v>436</v>
      </c>
      <c r="C25" s="1046"/>
      <c r="D25" s="1046"/>
      <c r="E25" s="1046"/>
      <c r="F25" s="1046"/>
      <c r="G25" s="1046"/>
      <c r="H25" s="1046"/>
      <c r="I25" s="1046"/>
      <c r="J25" s="1046"/>
      <c r="K25" s="1046"/>
      <c r="L25" s="1046"/>
    </row>
    <row r="26" spans="1:12" x14ac:dyDescent="0.35">
      <c r="A26" s="8"/>
      <c r="C26" s="1046"/>
      <c r="D26" s="1046"/>
      <c r="E26" s="1046"/>
      <c r="F26" s="1046"/>
      <c r="G26" s="1046"/>
      <c r="H26" s="1046"/>
      <c r="I26" s="1046"/>
      <c r="J26" s="1046"/>
      <c r="K26" s="1046"/>
      <c r="L26" s="1046"/>
    </row>
    <row r="27" spans="1:12" x14ac:dyDescent="0.35">
      <c r="A27" s="8"/>
      <c r="C27" s="1046"/>
      <c r="D27" s="1046"/>
      <c r="E27" s="1046"/>
      <c r="F27" s="1046"/>
      <c r="G27" s="1046"/>
      <c r="H27" s="1046"/>
      <c r="I27" s="1046"/>
      <c r="J27" s="1046"/>
      <c r="K27" s="1046"/>
      <c r="L27" s="1046"/>
    </row>
    <row r="29" spans="1:12" x14ac:dyDescent="0.35">
      <c r="A29" s="11" t="s">
        <v>437</v>
      </c>
      <c r="D29" s="1047"/>
    </row>
    <row r="31" spans="1:12" x14ac:dyDescent="0.35">
      <c r="B31" s="10" t="s">
        <v>438</v>
      </c>
      <c r="F31" s="1044" t="s">
        <v>435</v>
      </c>
    </row>
    <row r="33" spans="1:12" ht="15" thickBot="1" x14ac:dyDescent="0.4">
      <c r="C33" s="861" t="str">
        <f>IF(F31="Yes","Explanation Required",IF(F31="No","No explanation required",""))</f>
        <v/>
      </c>
    </row>
    <row r="34" spans="1:12" ht="15" thickBot="1" x14ac:dyDescent="0.4">
      <c r="C34" s="2195"/>
      <c r="D34" s="2196"/>
      <c r="E34" s="2196"/>
      <c r="F34" s="2196"/>
      <c r="G34" s="2196"/>
      <c r="H34" s="2196"/>
      <c r="I34" s="2196"/>
      <c r="J34" s="2196"/>
      <c r="K34" s="2196"/>
      <c r="L34" s="2197"/>
    </row>
    <row r="35" spans="1:12" x14ac:dyDescent="0.35">
      <c r="C35" s="1048"/>
      <c r="D35" s="1048"/>
      <c r="E35" s="1048"/>
      <c r="F35" s="1048"/>
      <c r="G35" s="1048"/>
      <c r="H35" s="1048"/>
      <c r="I35" s="1048"/>
      <c r="J35" s="1048"/>
      <c r="K35" s="1048"/>
      <c r="L35" s="1048"/>
    </row>
    <row r="37" spans="1:12" x14ac:dyDescent="0.35">
      <c r="A37" s="8" t="s">
        <v>439</v>
      </c>
    </row>
    <row r="39" spans="1:12" x14ac:dyDescent="0.35">
      <c r="B39" s="10" t="s">
        <v>440</v>
      </c>
      <c r="E39" s="1044" t="s">
        <v>435</v>
      </c>
    </row>
    <row r="41" spans="1:12" ht="15" thickBot="1" x14ac:dyDescent="0.4">
      <c r="C41" s="861" t="str">
        <f>IF(E39="Yes","Explanation Required",IF(E39="No","No explanation required",""))</f>
        <v/>
      </c>
    </row>
    <row r="42" spans="1:12" ht="15" thickBot="1" x14ac:dyDescent="0.4">
      <c r="C42" s="2195"/>
      <c r="D42" s="2196"/>
      <c r="E42" s="2196"/>
      <c r="F42" s="2196"/>
      <c r="G42" s="2196"/>
      <c r="H42" s="2196"/>
      <c r="I42" s="2196"/>
      <c r="J42" s="2196"/>
      <c r="K42" s="2196"/>
      <c r="L42" s="2197"/>
    </row>
    <row r="43" spans="1:12" x14ac:dyDescent="0.35">
      <c r="C43" s="1048"/>
      <c r="D43" s="1048"/>
      <c r="E43" s="1048"/>
      <c r="F43" s="1048"/>
      <c r="G43" s="1048"/>
      <c r="H43" s="1048"/>
      <c r="I43" s="1048"/>
      <c r="J43" s="1048"/>
      <c r="K43" s="1048"/>
      <c r="L43" s="1048"/>
    </row>
    <row r="45" spans="1:12" x14ac:dyDescent="0.35">
      <c r="A45" s="8" t="s">
        <v>441</v>
      </c>
      <c r="L45" s="8"/>
    </row>
    <row r="46" spans="1:12" x14ac:dyDescent="0.35">
      <c r="A46" s="8"/>
      <c r="I46" s="1049"/>
      <c r="L46" s="8"/>
    </row>
    <row r="47" spans="1:12" x14ac:dyDescent="0.35">
      <c r="B47" s="10" t="s">
        <v>442</v>
      </c>
      <c r="L47" s="8"/>
    </row>
    <row r="48" spans="1:12" x14ac:dyDescent="0.35">
      <c r="A48" s="8"/>
      <c r="B48" s="1047" t="s">
        <v>443</v>
      </c>
      <c r="L48" s="8"/>
    </row>
    <row r="49" spans="1:12" ht="15" thickBot="1" x14ac:dyDescent="0.4">
      <c r="L49" s="8"/>
    </row>
    <row r="50" spans="1:12" x14ac:dyDescent="0.35">
      <c r="D50" s="1472" t="s">
        <v>444</v>
      </c>
      <c r="E50" s="1472" t="s">
        <v>445</v>
      </c>
      <c r="K50" s="8"/>
    </row>
    <row r="51" spans="1:12" ht="15" thickBot="1" x14ac:dyDescent="0.4">
      <c r="D51" s="1473" t="str">
        <f>IFERROR(EOMONTH(E51,-3),"mm/dd/yyyy")</f>
        <v>mm/dd/yyyy</v>
      </c>
      <c r="E51" s="1474" t="str">
        <f>C3</f>
        <v>mm/dd/yyyy</v>
      </c>
      <c r="K51" s="8"/>
    </row>
    <row r="52" spans="1:12" ht="15" thickBot="1" x14ac:dyDescent="0.4">
      <c r="C52" s="1050" t="s">
        <v>194</v>
      </c>
      <c r="D52" s="1051" cm="1">
        <f t="array" ref="D52">IF(D51="mm/dd/yyyy",0,_xlfn.XLOOKUP(D51,_xlfn.CHOOSECOLS('FS-Income Statement 3.05'!$C$5:$Q$5,3,7,11,15),_xlfn.CHOOSECOLS('FS-Income Statement 3.05'!$C$7:$Q$7,3,7,11,15),"Manual Entry"))</f>
        <v>0</v>
      </c>
      <c r="E52" s="1052" cm="1">
        <f t="array" ref="E52">IF(E51="mm/dd/yyyy",0,_xlfn.XLOOKUP(E51,_xlfn.CHOOSECOLS('FS-Income Statement 3.05'!$C$5:$Q$5,3,7,11,15),_xlfn.CHOOSECOLS('FS-Income Statement 3.05'!$C$7:$Q$7,3,7,11,15)))</f>
        <v>0</v>
      </c>
      <c r="K52" s="8"/>
    </row>
    <row r="53" spans="1:12" ht="15" thickBot="1" x14ac:dyDescent="0.4">
      <c r="K53" s="8"/>
    </row>
    <row r="54" spans="1:12" ht="15" customHeight="1" thickBot="1" x14ac:dyDescent="0.4">
      <c r="D54" s="2202" t="s">
        <v>446</v>
      </c>
      <c r="E54" s="2203"/>
      <c r="F54" s="2202" t="s">
        <v>447</v>
      </c>
      <c r="G54" s="2217"/>
      <c r="H54" s="2217"/>
      <c r="I54" s="2203"/>
      <c r="J54" s="1053"/>
      <c r="K54" s="8"/>
    </row>
    <row r="55" spans="1:12" ht="29.5" thickBot="1" x14ac:dyDescent="0.4">
      <c r="D55" s="1661" t="s">
        <v>444</v>
      </c>
      <c r="E55" s="1661" t="s">
        <v>445</v>
      </c>
      <c r="F55" s="1913" t="s">
        <v>444</v>
      </c>
      <c r="G55" s="1913" t="s">
        <v>445</v>
      </c>
      <c r="H55" s="1914" t="s">
        <v>448</v>
      </c>
      <c r="I55" s="1915" t="s">
        <v>449</v>
      </c>
    </row>
    <row r="56" spans="1:12" ht="15" thickBot="1" x14ac:dyDescent="0.4">
      <c r="C56" s="1054" t="s">
        <v>139</v>
      </c>
      <c r="D56" s="1055" cm="1">
        <f t="array" ref="D56">IF(D51="mm/dd/yyyy",0,_xlfn.XLOOKUP(D51,'FS-Balance Sheet 3.04'!$C$5:$F$5,_xlfn.XLOOKUP('FS-Footnotes 3.06'!C56,'FS-Balance Sheet 3.04'!$B$9:$B$150,'FS-Balance Sheet 3.04'!$C$9:$F$150),"Manual Entry"))</f>
        <v>0</v>
      </c>
      <c r="E56" s="1056" cm="1">
        <f t="array" ref="E56">IF(E51="mm/dd/yyyy",0,_xlfn.XLOOKUP(E51,'FS-Balance Sheet 3.04'!$C$5:$F$5,_xlfn.XLOOKUP('FS-Footnotes 3.06'!C56,'FS-Balance Sheet 3.04'!$B$9:$B$150,'FS-Balance Sheet 3.04'!$C$9:$F$150)))</f>
        <v>0</v>
      </c>
      <c r="F56" s="1057">
        <f>IFERROR(D56/$D$52,0)</f>
        <v>0</v>
      </c>
      <c r="G56" s="1057">
        <f>IFERROR(E56/$E$52,0)</f>
        <v>0</v>
      </c>
      <c r="H56" s="1058">
        <f>G56-F56</f>
        <v>0</v>
      </c>
      <c r="I56" s="1059">
        <f t="shared" ref="I56" si="0">IFERROR(ROUND(H56/F56,3),0)</f>
        <v>0</v>
      </c>
    </row>
    <row r="57" spans="1:12" x14ac:dyDescent="0.35">
      <c r="K57" s="8"/>
    </row>
    <row r="58" spans="1:12" ht="15" thickBot="1" x14ac:dyDescent="0.4">
      <c r="K58" s="8"/>
    </row>
    <row r="59" spans="1:12" ht="15" thickBot="1" x14ac:dyDescent="0.4">
      <c r="C59" s="1060" t="s">
        <v>139</v>
      </c>
      <c r="D59" s="2198"/>
      <c r="E59" s="2196"/>
      <c r="F59" s="2196"/>
      <c r="G59" s="2196"/>
      <c r="H59" s="2196"/>
      <c r="I59" s="2196"/>
      <c r="J59" s="2196"/>
      <c r="K59" s="2196"/>
      <c r="L59" s="2197"/>
    </row>
    <row r="60" spans="1:12" s="21" customFormat="1" x14ac:dyDescent="0.35"/>
    <row r="61" spans="1:12" x14ac:dyDescent="0.35">
      <c r="L61" s="8"/>
    </row>
    <row r="62" spans="1:12" x14ac:dyDescent="0.35">
      <c r="A62" s="8" t="s">
        <v>450</v>
      </c>
      <c r="L62" s="19"/>
    </row>
    <row r="63" spans="1:12" s="9" customFormat="1" x14ac:dyDescent="0.35">
      <c r="A63" s="2006"/>
      <c r="B63" s="2006"/>
      <c r="C63" s="2006"/>
      <c r="D63" s="2006"/>
      <c r="E63" s="2006"/>
      <c r="F63" s="2006"/>
      <c r="G63" s="2006"/>
      <c r="H63" s="2006"/>
      <c r="I63" s="2006"/>
      <c r="J63" s="2006"/>
      <c r="K63" s="2006"/>
      <c r="L63" s="2006"/>
    </row>
    <row r="64" spans="1:12" s="9" customFormat="1" x14ac:dyDescent="0.35">
      <c r="A64" s="10"/>
      <c r="B64" s="10" t="s">
        <v>451</v>
      </c>
      <c r="C64" s="2006"/>
      <c r="D64" s="2006"/>
      <c r="E64" s="1044" t="s">
        <v>435</v>
      </c>
      <c r="F64" s="2006"/>
      <c r="G64" s="2006"/>
      <c r="H64" s="2006"/>
      <c r="I64" s="2006"/>
      <c r="J64" s="2006"/>
      <c r="K64" s="2006"/>
      <c r="L64" s="2006"/>
    </row>
    <row r="65" spans="1:12" s="9" customFormat="1" x14ac:dyDescent="0.35">
      <c r="A65" s="2006"/>
      <c r="B65" s="2006"/>
      <c r="C65" s="2006"/>
      <c r="D65" s="2006"/>
      <c r="E65" s="2006"/>
      <c r="F65" s="2006"/>
      <c r="G65" s="2006"/>
      <c r="H65" s="2006"/>
      <c r="I65" s="2006"/>
      <c r="J65" s="2006"/>
      <c r="K65" s="2006"/>
      <c r="L65" s="2006"/>
    </row>
    <row r="66" spans="1:12" x14ac:dyDescent="0.35">
      <c r="L66" s="19"/>
    </row>
    <row r="67" spans="1:12" ht="15" thickBot="1" x14ac:dyDescent="0.4">
      <c r="C67" s="861" t="str">
        <f>IF(E64="Yes","Explanation Required",IF(E64="No","No explanation required",""))</f>
        <v/>
      </c>
      <c r="K67" s="19"/>
      <c r="L67" s="1061"/>
    </row>
    <row r="68" spans="1:12" ht="15" thickBot="1" x14ac:dyDescent="0.4">
      <c r="C68" s="2199"/>
      <c r="D68" s="2200"/>
      <c r="E68" s="2200"/>
      <c r="F68" s="2200"/>
      <c r="G68" s="2200"/>
      <c r="H68" s="2200"/>
      <c r="I68" s="2200"/>
      <c r="J68" s="2200"/>
      <c r="K68" s="2200"/>
      <c r="L68" s="2201"/>
    </row>
    <row r="69" spans="1:12" s="21" customFormat="1" x14ac:dyDescent="0.35"/>
    <row r="70" spans="1:12" x14ac:dyDescent="0.35">
      <c r="L70" s="19"/>
    </row>
    <row r="71" spans="1:12" x14ac:dyDescent="0.35">
      <c r="A71" s="8" t="s">
        <v>452</v>
      </c>
    </row>
    <row r="73" spans="1:12" x14ac:dyDescent="0.35">
      <c r="B73" s="10" t="s">
        <v>453</v>
      </c>
      <c r="G73" s="1044" t="s">
        <v>435</v>
      </c>
    </row>
    <row r="75" spans="1:12" ht="15" thickBot="1" x14ac:dyDescent="0.4">
      <c r="C75" s="861" t="str">
        <f>IF(G73="Yes","Please complete the table below:",IF(G73="No","Explanation not required",""))</f>
        <v/>
      </c>
    </row>
    <row r="76" spans="1:12" ht="15" customHeight="1" thickBot="1" x14ac:dyDescent="0.4">
      <c r="C76" s="2142" t="s">
        <v>454</v>
      </c>
      <c r="D76" s="2143"/>
      <c r="E76" s="2143"/>
      <c r="F76" s="2144"/>
    </row>
    <row r="77" spans="1:12" ht="15" thickBot="1" x14ac:dyDescent="0.4">
      <c r="C77" s="1662" t="s">
        <v>455</v>
      </c>
      <c r="D77" s="1663" t="s">
        <v>456</v>
      </c>
      <c r="E77" s="1664" t="s">
        <v>457</v>
      </c>
      <c r="F77" s="1665" t="s">
        <v>458</v>
      </c>
    </row>
    <row r="78" spans="1:12" x14ac:dyDescent="0.35">
      <c r="C78" s="2116"/>
      <c r="D78" s="1133"/>
      <c r="E78" s="2117">
        <v>0</v>
      </c>
      <c r="F78" s="2118">
        <v>0</v>
      </c>
    </row>
    <row r="79" spans="1:12" x14ac:dyDescent="0.35">
      <c r="C79" s="2119"/>
      <c r="D79" s="1136"/>
      <c r="E79" s="2120">
        <v>0</v>
      </c>
      <c r="F79" s="2121">
        <v>0</v>
      </c>
    </row>
    <row r="80" spans="1:12" x14ac:dyDescent="0.35">
      <c r="C80" s="2122"/>
      <c r="D80" s="1136"/>
      <c r="E80" s="2120">
        <v>0</v>
      </c>
      <c r="F80" s="2121">
        <v>0</v>
      </c>
    </row>
    <row r="81" spans="1:12" ht="15" thickBot="1" x14ac:dyDescent="0.4">
      <c r="C81" s="2123"/>
      <c r="D81" s="1139"/>
      <c r="E81" s="2124">
        <v>0</v>
      </c>
      <c r="F81" s="2125">
        <v>0</v>
      </c>
    </row>
    <row r="82" spans="1:12" ht="15" thickBot="1" x14ac:dyDescent="0.4">
      <c r="C82" s="2204" t="s">
        <v>459</v>
      </c>
      <c r="D82" s="2205"/>
      <c r="E82" s="1062">
        <f>SUM(E78:E81)</f>
        <v>0</v>
      </c>
      <c r="F82" s="1063">
        <f>SUM(F78:F81)</f>
        <v>0</v>
      </c>
    </row>
    <row r="83" spans="1:12" s="21" customFormat="1" x14ac:dyDescent="0.35"/>
    <row r="85" spans="1:12" x14ac:dyDescent="0.35">
      <c r="A85" s="8" t="s">
        <v>460</v>
      </c>
      <c r="D85" s="2006"/>
    </row>
    <row r="87" spans="1:12" x14ac:dyDescent="0.35">
      <c r="B87" s="10" t="s">
        <v>461</v>
      </c>
      <c r="E87" s="2006"/>
    </row>
    <row r="88" spans="1:12" x14ac:dyDescent="0.35">
      <c r="B88" s="2006"/>
      <c r="C88" s="2006"/>
      <c r="D88" s="2006"/>
      <c r="E88" s="2006"/>
      <c r="F88" s="2006"/>
      <c r="G88" s="2006"/>
      <c r="H88" s="2006"/>
      <c r="I88" s="2006"/>
      <c r="L88" s="2007"/>
    </row>
    <row r="89" spans="1:12" ht="15" thickBot="1" x14ac:dyDescent="0.4">
      <c r="B89" s="2006"/>
      <c r="C89" s="8"/>
      <c r="D89" s="2006"/>
      <c r="E89" s="2006"/>
      <c r="F89" s="2006"/>
      <c r="G89" s="2006"/>
      <c r="H89" s="2006"/>
      <c r="I89" s="2006"/>
      <c r="L89" s="2007"/>
    </row>
    <row r="90" spans="1:12" x14ac:dyDescent="0.35">
      <c r="B90" s="2006"/>
      <c r="D90" s="1475" t="s">
        <v>462</v>
      </c>
      <c r="E90" s="1476" t="s">
        <v>463</v>
      </c>
    </row>
    <row r="91" spans="1:12" ht="15" thickBot="1" x14ac:dyDescent="0.4">
      <c r="B91" s="2006"/>
      <c r="C91" s="2008"/>
      <c r="D91" s="1477" t="str">
        <f>IFERROR(EOMONTH(E91,-3),"mm/dd/yyyy")</f>
        <v>mm/dd/yyyy</v>
      </c>
      <c r="E91" s="1477" t="str">
        <f>C3</f>
        <v>mm/dd/yyyy</v>
      </c>
      <c r="F91" s="2008"/>
      <c r="G91" s="2008"/>
      <c r="H91" s="2008"/>
      <c r="I91" s="2008"/>
      <c r="L91" s="2007"/>
    </row>
    <row r="92" spans="1:12" ht="15" thickBot="1" x14ac:dyDescent="0.4">
      <c r="B92" s="2006"/>
      <c r="C92" s="1666" t="s">
        <v>464</v>
      </c>
      <c r="D92" s="1667" t="s">
        <v>457</v>
      </c>
      <c r="E92" s="1668" t="s">
        <v>457</v>
      </c>
      <c r="F92" s="1668" t="s">
        <v>465</v>
      </c>
      <c r="G92" s="2206" t="s">
        <v>466</v>
      </c>
      <c r="H92" s="2207"/>
      <c r="I92" s="2207"/>
      <c r="J92" s="2207"/>
      <c r="K92" s="2207"/>
      <c r="L92" s="2208"/>
    </row>
    <row r="93" spans="1:12" ht="15" thickBot="1" x14ac:dyDescent="0.4">
      <c r="B93" s="2006"/>
      <c r="C93" s="1478" t="s">
        <v>467</v>
      </c>
      <c r="D93" s="1479"/>
      <c r="E93" s="1480"/>
      <c r="F93" s="1441"/>
      <c r="G93" s="1479"/>
      <c r="H93" s="1479"/>
      <c r="I93" s="1479"/>
      <c r="J93" s="1481"/>
      <c r="K93" s="1481"/>
      <c r="L93" s="1482"/>
    </row>
    <row r="94" spans="1:12" x14ac:dyDescent="0.35">
      <c r="B94" s="2006"/>
      <c r="C94" s="1064"/>
      <c r="D94" s="1065">
        <v>0</v>
      </c>
      <c r="E94" s="1066">
        <v>0</v>
      </c>
      <c r="F94" s="2009">
        <f t="shared" ref="F94:F115" si="1">IF(AND(D94=0,E94=0),0,IF(AND(D94=0,E94&lt;&gt;0),1,(E94-D94)/D94))</f>
        <v>0</v>
      </c>
      <c r="G94" s="2209"/>
      <c r="H94" s="2210"/>
      <c r="I94" s="2210"/>
      <c r="J94" s="2210"/>
      <c r="K94" s="2210"/>
      <c r="L94" s="2211"/>
    </row>
    <row r="95" spans="1:12" x14ac:dyDescent="0.35">
      <c r="B95" s="2006"/>
      <c r="C95" s="1067"/>
      <c r="D95" s="1068">
        <v>0</v>
      </c>
      <c r="E95" s="1069">
        <v>0</v>
      </c>
      <c r="F95" s="2011">
        <f t="shared" si="1"/>
        <v>0</v>
      </c>
      <c r="G95" s="2175"/>
      <c r="H95" s="2176"/>
      <c r="I95" s="2176"/>
      <c r="J95" s="2176"/>
      <c r="K95" s="2176"/>
      <c r="L95" s="2177"/>
    </row>
    <row r="96" spans="1:12" x14ac:dyDescent="0.35">
      <c r="B96" s="2006"/>
      <c r="C96" s="1067"/>
      <c r="D96" s="1068">
        <v>0</v>
      </c>
      <c r="E96" s="1069">
        <v>0</v>
      </c>
      <c r="F96" s="2011">
        <f t="shared" si="1"/>
        <v>0</v>
      </c>
      <c r="G96" s="2175"/>
      <c r="H96" s="2176"/>
      <c r="I96" s="2176"/>
      <c r="J96" s="2176"/>
      <c r="K96" s="2176"/>
      <c r="L96" s="2177"/>
    </row>
    <row r="97" spans="2:12" x14ac:dyDescent="0.35">
      <c r="B97" s="2006"/>
      <c r="C97" s="1067"/>
      <c r="D97" s="1068">
        <v>0</v>
      </c>
      <c r="E97" s="1069">
        <v>0</v>
      </c>
      <c r="F97" s="2011">
        <f t="shared" si="1"/>
        <v>0</v>
      </c>
      <c r="G97" s="2175"/>
      <c r="H97" s="2176"/>
      <c r="I97" s="2176"/>
      <c r="J97" s="2176"/>
      <c r="K97" s="2176"/>
      <c r="L97" s="2177"/>
    </row>
    <row r="98" spans="2:12" x14ac:dyDescent="0.35">
      <c r="B98" s="2006"/>
      <c r="C98" s="1067"/>
      <c r="D98" s="1068">
        <v>0</v>
      </c>
      <c r="E98" s="1069">
        <v>0</v>
      </c>
      <c r="F98" s="2011">
        <f t="shared" si="1"/>
        <v>0</v>
      </c>
      <c r="G98" s="2175"/>
      <c r="H98" s="2176"/>
      <c r="I98" s="2176"/>
      <c r="J98" s="2176"/>
      <c r="K98" s="2176"/>
      <c r="L98" s="2177"/>
    </row>
    <row r="99" spans="2:12" x14ac:dyDescent="0.35">
      <c r="B99" s="2006"/>
      <c r="C99" s="1067"/>
      <c r="D99" s="1068">
        <v>0</v>
      </c>
      <c r="E99" s="1069">
        <v>0</v>
      </c>
      <c r="F99" s="2011">
        <f t="shared" si="1"/>
        <v>0</v>
      </c>
      <c r="G99" s="2175"/>
      <c r="H99" s="2176"/>
      <c r="I99" s="2176"/>
      <c r="J99" s="2176"/>
      <c r="K99" s="2176"/>
      <c r="L99" s="2177"/>
    </row>
    <row r="100" spans="2:12" x14ac:dyDescent="0.35">
      <c r="B100" s="2006"/>
      <c r="C100" s="1067"/>
      <c r="D100" s="1068">
        <v>0</v>
      </c>
      <c r="E100" s="1069">
        <v>0</v>
      </c>
      <c r="F100" s="2011">
        <f t="shared" si="1"/>
        <v>0</v>
      </c>
      <c r="G100" s="2175"/>
      <c r="H100" s="2176"/>
      <c r="I100" s="2176"/>
      <c r="J100" s="2176"/>
      <c r="K100" s="2176"/>
      <c r="L100" s="2177"/>
    </row>
    <row r="101" spans="2:12" x14ac:dyDescent="0.35">
      <c r="B101" s="2006"/>
      <c r="C101" s="1067"/>
      <c r="D101" s="1068">
        <v>0</v>
      </c>
      <c r="E101" s="1069">
        <v>0</v>
      </c>
      <c r="F101" s="2011">
        <f t="shared" si="1"/>
        <v>0</v>
      </c>
      <c r="G101" s="2175"/>
      <c r="H101" s="2176"/>
      <c r="I101" s="2176"/>
      <c r="J101" s="2176"/>
      <c r="K101" s="2176"/>
      <c r="L101" s="2177"/>
    </row>
    <row r="102" spans="2:12" ht="15" thickBot="1" x14ac:dyDescent="0.4">
      <c r="C102" s="1070"/>
      <c r="D102" s="1071">
        <v>0</v>
      </c>
      <c r="E102" s="1072">
        <v>0</v>
      </c>
      <c r="F102" s="2013">
        <f t="shared" si="1"/>
        <v>0</v>
      </c>
      <c r="G102" s="2181"/>
      <c r="H102" s="2182"/>
      <c r="I102" s="2182"/>
      <c r="J102" s="2182"/>
      <c r="K102" s="2182"/>
      <c r="L102" s="2183"/>
    </row>
    <row r="103" spans="2:12" ht="15" thickBot="1" x14ac:dyDescent="0.4">
      <c r="C103" s="1073" t="s">
        <v>468</v>
      </c>
      <c r="D103" s="1074">
        <f>SUM(D94:D102)</f>
        <v>0</v>
      </c>
      <c r="E103" s="1075">
        <f>SUM(E94:E102)</f>
        <v>0</v>
      </c>
      <c r="F103" s="1076">
        <f t="shared" si="1"/>
        <v>0</v>
      </c>
      <c r="G103" s="2212"/>
      <c r="H103" s="2213"/>
      <c r="I103" s="2213"/>
      <c r="J103" s="2213"/>
      <c r="K103" s="2213"/>
      <c r="L103" s="2214"/>
    </row>
    <row r="104" spans="2:12" ht="15" thickBot="1" x14ac:dyDescent="0.4">
      <c r="C104" s="1483" t="s">
        <v>469</v>
      </c>
      <c r="D104" s="1484"/>
      <c r="E104" s="1484"/>
      <c r="F104" s="1485"/>
      <c r="G104" s="1479"/>
      <c r="H104" s="1479"/>
      <c r="I104" s="1479"/>
      <c r="J104" s="1481"/>
      <c r="K104" s="1481"/>
      <c r="L104" s="1482"/>
    </row>
    <row r="105" spans="2:12" x14ac:dyDescent="0.35">
      <c r="C105" s="1077"/>
      <c r="D105" s="1078">
        <v>0</v>
      </c>
      <c r="E105" s="1079">
        <v>0</v>
      </c>
      <c r="F105" s="2009">
        <f t="shared" si="1"/>
        <v>0</v>
      </c>
      <c r="G105" s="2209"/>
      <c r="H105" s="2210"/>
      <c r="I105" s="2210"/>
      <c r="J105" s="2210"/>
      <c r="K105" s="2210"/>
      <c r="L105" s="2211"/>
    </row>
    <row r="106" spans="2:12" x14ac:dyDescent="0.35">
      <c r="C106" s="1080"/>
      <c r="D106" s="1081">
        <v>0</v>
      </c>
      <c r="E106" s="1082">
        <v>0</v>
      </c>
      <c r="F106" s="2011">
        <f t="shared" si="1"/>
        <v>0</v>
      </c>
      <c r="G106" s="2175"/>
      <c r="H106" s="2176"/>
      <c r="I106" s="2176"/>
      <c r="J106" s="2176"/>
      <c r="K106" s="2176"/>
      <c r="L106" s="2177"/>
    </row>
    <row r="107" spans="2:12" x14ac:dyDescent="0.35">
      <c r="C107" s="1080"/>
      <c r="D107" s="1081">
        <v>0</v>
      </c>
      <c r="E107" s="1082">
        <v>0</v>
      </c>
      <c r="F107" s="2011">
        <f t="shared" si="1"/>
        <v>0</v>
      </c>
      <c r="G107" s="2175"/>
      <c r="H107" s="2176"/>
      <c r="I107" s="2176"/>
      <c r="J107" s="2176"/>
      <c r="K107" s="2176"/>
      <c r="L107" s="2177"/>
    </row>
    <row r="108" spans="2:12" x14ac:dyDescent="0.35">
      <c r="C108" s="1080"/>
      <c r="D108" s="1081">
        <v>0</v>
      </c>
      <c r="E108" s="1082">
        <v>0</v>
      </c>
      <c r="F108" s="2011">
        <f t="shared" si="1"/>
        <v>0</v>
      </c>
      <c r="G108" s="2175"/>
      <c r="H108" s="2176"/>
      <c r="I108" s="2176"/>
      <c r="J108" s="2176"/>
      <c r="K108" s="2176"/>
      <c r="L108" s="2177"/>
    </row>
    <row r="109" spans="2:12" x14ac:dyDescent="0.35">
      <c r="C109" s="1080"/>
      <c r="D109" s="1081">
        <v>0</v>
      </c>
      <c r="E109" s="1082">
        <v>0</v>
      </c>
      <c r="F109" s="2011">
        <f t="shared" si="1"/>
        <v>0</v>
      </c>
      <c r="G109" s="2175"/>
      <c r="H109" s="2176"/>
      <c r="I109" s="2176"/>
      <c r="J109" s="2176"/>
      <c r="K109" s="2176"/>
      <c r="L109" s="2177"/>
    </row>
    <row r="110" spans="2:12" x14ac:dyDescent="0.35">
      <c r="C110" s="1080"/>
      <c r="D110" s="1081">
        <v>0</v>
      </c>
      <c r="E110" s="1082">
        <v>0</v>
      </c>
      <c r="F110" s="2011">
        <f t="shared" si="1"/>
        <v>0</v>
      </c>
      <c r="G110" s="2175"/>
      <c r="H110" s="2176"/>
      <c r="I110" s="2176"/>
      <c r="J110" s="2176"/>
      <c r="K110" s="2176"/>
      <c r="L110" s="2177"/>
    </row>
    <row r="111" spans="2:12" x14ac:dyDescent="0.35">
      <c r="C111" s="1080"/>
      <c r="D111" s="1081">
        <v>0</v>
      </c>
      <c r="E111" s="1082">
        <v>0</v>
      </c>
      <c r="F111" s="2011">
        <f t="shared" si="1"/>
        <v>0</v>
      </c>
      <c r="G111" s="2175"/>
      <c r="H111" s="2176"/>
      <c r="I111" s="2176"/>
      <c r="J111" s="2176"/>
      <c r="K111" s="2176"/>
      <c r="L111" s="2177"/>
    </row>
    <row r="112" spans="2:12" x14ac:dyDescent="0.35">
      <c r="C112" s="1080"/>
      <c r="D112" s="1081">
        <v>0</v>
      </c>
      <c r="E112" s="1082">
        <v>0</v>
      </c>
      <c r="F112" s="2011">
        <f t="shared" si="1"/>
        <v>0</v>
      </c>
      <c r="G112" s="2175"/>
      <c r="H112" s="2176"/>
      <c r="I112" s="2176"/>
      <c r="J112" s="2176"/>
      <c r="K112" s="2176"/>
      <c r="L112" s="2177"/>
    </row>
    <row r="113" spans="1:12" ht="15" thickBot="1" x14ac:dyDescent="0.4">
      <c r="C113" s="1083"/>
      <c r="D113" s="1084">
        <v>0</v>
      </c>
      <c r="E113" s="1085">
        <v>0</v>
      </c>
      <c r="F113" s="2013">
        <f t="shared" si="1"/>
        <v>0</v>
      </c>
      <c r="G113" s="2181"/>
      <c r="H113" s="2182"/>
      <c r="I113" s="2182"/>
      <c r="J113" s="2182"/>
      <c r="K113" s="2182"/>
      <c r="L113" s="2183"/>
    </row>
    <row r="114" spans="1:12" x14ac:dyDescent="0.35">
      <c r="C114" s="1086" t="s">
        <v>468</v>
      </c>
      <c r="D114" s="1087">
        <f>SUM(D105:D113)</f>
        <v>0</v>
      </c>
      <c r="E114" s="1087">
        <f>SUM(E105:E113)</f>
        <v>0</v>
      </c>
      <c r="F114" s="1088">
        <f t="shared" si="1"/>
        <v>0</v>
      </c>
      <c r="G114" s="2184"/>
      <c r="H114" s="2185"/>
      <c r="I114" s="2185"/>
      <c r="J114" s="2185"/>
      <c r="K114" s="2185"/>
      <c r="L114" s="2186"/>
    </row>
    <row r="115" spans="1:12" ht="15" thickBot="1" x14ac:dyDescent="0.4">
      <c r="C115" s="1089" t="s">
        <v>470</v>
      </c>
      <c r="D115" s="1090">
        <f>+D103+D114</f>
        <v>0</v>
      </c>
      <c r="E115" s="1090">
        <f>+E103+E114</f>
        <v>0</v>
      </c>
      <c r="F115" s="1091">
        <f t="shared" si="1"/>
        <v>0</v>
      </c>
      <c r="G115" s="2178"/>
      <c r="H115" s="2179"/>
      <c r="I115" s="2179"/>
      <c r="J115" s="2179"/>
      <c r="K115" s="2179"/>
      <c r="L115" s="2180"/>
    </row>
    <row r="116" spans="1:12" s="21" customFormat="1" x14ac:dyDescent="0.35"/>
    <row r="117" spans="1:12" s="21" customFormat="1" x14ac:dyDescent="0.35"/>
    <row r="118" spans="1:12" x14ac:dyDescent="0.35">
      <c r="A118" s="8" t="s">
        <v>471</v>
      </c>
    </row>
    <row r="119" spans="1:12" x14ac:dyDescent="0.35">
      <c r="A119" s="8"/>
    </row>
    <row r="120" spans="1:12" x14ac:dyDescent="0.35">
      <c r="B120" s="10" t="s">
        <v>472</v>
      </c>
    </row>
    <row r="121" spans="1:12" ht="15" thickBot="1" x14ac:dyDescent="0.4">
      <c r="A121" s="8"/>
    </row>
    <row r="122" spans="1:12" ht="44" thickBot="1" x14ac:dyDescent="0.4">
      <c r="C122" s="1486" t="s">
        <v>473</v>
      </c>
      <c r="D122" s="1487" t="s">
        <v>474</v>
      </c>
      <c r="E122" s="1487" t="s">
        <v>475</v>
      </c>
      <c r="F122" s="1919" t="s">
        <v>476</v>
      </c>
      <c r="G122" s="1917" t="s">
        <v>477</v>
      </c>
      <c r="L122" s="2007"/>
    </row>
    <row r="123" spans="1:12" x14ac:dyDescent="0.35">
      <c r="C123" s="1092" t="str">
        <f>IFERROR(EOMONTH(C126,-1),"mm/dd/yyyy")</f>
        <v>mm/dd/yyyy</v>
      </c>
      <c r="D123" s="1093">
        <v>0</v>
      </c>
      <c r="E123" s="1093">
        <v>0</v>
      </c>
      <c r="F123" s="1920">
        <v>0</v>
      </c>
      <c r="G123" s="1925">
        <f>D123+E123+F123</f>
        <v>0</v>
      </c>
      <c r="L123" s="2007"/>
    </row>
    <row r="124" spans="1:12" x14ac:dyDescent="0.35">
      <c r="C124" s="1094" t="s">
        <v>47</v>
      </c>
      <c r="D124" s="1095">
        <v>0</v>
      </c>
      <c r="E124" s="1095">
        <v>0</v>
      </c>
      <c r="F124" s="1921">
        <v>0</v>
      </c>
      <c r="G124" s="1926">
        <f>D124+E124+F124</f>
        <v>0</v>
      </c>
      <c r="L124" s="2007"/>
    </row>
    <row r="125" spans="1:12" x14ac:dyDescent="0.35">
      <c r="C125" s="1094" t="s">
        <v>47</v>
      </c>
      <c r="D125" s="1095">
        <v>0</v>
      </c>
      <c r="E125" s="1095">
        <v>0</v>
      </c>
      <c r="F125" s="1921">
        <v>0</v>
      </c>
      <c r="G125" s="1926">
        <f>D125+E125+F125</f>
        <v>0</v>
      </c>
      <c r="L125" s="2007"/>
    </row>
    <row r="126" spans="1:12" x14ac:dyDescent="0.35">
      <c r="C126" s="1096" t="str">
        <f>IFERROR(EOMONTH(C127,-1),"mm/dd/yyyy")</f>
        <v>mm/dd/yyyy</v>
      </c>
      <c r="D126" s="1097">
        <v>0</v>
      </c>
      <c r="E126" s="1097">
        <v>0</v>
      </c>
      <c r="F126" s="1922">
        <v>0</v>
      </c>
      <c r="G126" s="1927">
        <f>D126+E126+F126</f>
        <v>0</v>
      </c>
      <c r="L126" s="2007"/>
    </row>
    <row r="127" spans="1:12" ht="15" thickBot="1" x14ac:dyDescent="0.4">
      <c r="C127" s="1098" t="str">
        <f>C3</f>
        <v>mm/dd/yyyy</v>
      </c>
      <c r="D127" s="1099">
        <v>0</v>
      </c>
      <c r="E127" s="1099">
        <v>0</v>
      </c>
      <c r="F127" s="1923">
        <v>0</v>
      </c>
      <c r="G127" s="1928">
        <f>D127+E127+F127</f>
        <v>0</v>
      </c>
      <c r="L127" s="2007"/>
    </row>
    <row r="128" spans="1:12" ht="15" thickBot="1" x14ac:dyDescent="0.4">
      <c r="C128" s="1100" t="s">
        <v>470</v>
      </c>
      <c r="D128" s="1101">
        <f>SUM(D123:D127)</f>
        <v>0</v>
      </c>
      <c r="E128" s="1101">
        <f>SUM(E123:E127)</f>
        <v>0</v>
      </c>
      <c r="F128" s="1924">
        <f>SUM(F123:F127)</f>
        <v>0</v>
      </c>
      <c r="G128" s="1929">
        <f>SUM(G123:G127)</f>
        <v>0</v>
      </c>
      <c r="L128" s="2007"/>
    </row>
    <row r="129" spans="1:12" x14ac:dyDescent="0.35">
      <c r="L129" s="2007"/>
    </row>
    <row r="130" spans="1:12" ht="15" thickBot="1" x14ac:dyDescent="0.4">
      <c r="C130" s="8" t="s">
        <v>478</v>
      </c>
      <c r="L130" s="2007"/>
    </row>
    <row r="131" spans="1:12" ht="15" thickBot="1" x14ac:dyDescent="0.4">
      <c r="C131" s="2195"/>
      <c r="D131" s="2196"/>
      <c r="E131" s="2196"/>
      <c r="F131" s="2196"/>
      <c r="G131" s="2196"/>
      <c r="H131" s="2196"/>
      <c r="I131" s="2196"/>
      <c r="J131" s="2196"/>
      <c r="K131" s="2196"/>
      <c r="L131" s="2197"/>
    </row>
    <row r="132" spans="1:12" x14ac:dyDescent="0.35">
      <c r="C132" s="1048"/>
      <c r="D132" s="1048"/>
      <c r="E132" s="1048"/>
      <c r="F132" s="1048"/>
      <c r="G132" s="1048"/>
      <c r="H132" s="1048"/>
      <c r="I132" s="1048"/>
      <c r="J132" s="1048"/>
      <c r="K132" s="1048"/>
      <c r="L132" s="1048"/>
    </row>
    <row r="134" spans="1:12" x14ac:dyDescent="0.35">
      <c r="A134" s="8" t="s">
        <v>479</v>
      </c>
      <c r="L134" s="1102"/>
    </row>
    <row r="135" spans="1:12" x14ac:dyDescent="0.35">
      <c r="A135" s="8"/>
      <c r="L135" s="1102"/>
    </row>
    <row r="136" spans="1:12" x14ac:dyDescent="0.35">
      <c r="A136" s="8"/>
      <c r="B136" s="12" t="s">
        <v>480</v>
      </c>
      <c r="L136" s="1102"/>
    </row>
    <row r="137" spans="1:12" x14ac:dyDescent="0.35">
      <c r="A137" s="8"/>
      <c r="L137" s="1102"/>
    </row>
    <row r="138" spans="1:12" x14ac:dyDescent="0.35">
      <c r="A138" s="8"/>
      <c r="B138" s="10" t="s">
        <v>481</v>
      </c>
      <c r="L138" s="1102"/>
    </row>
    <row r="139" spans="1:12" x14ac:dyDescent="0.35">
      <c r="L139" s="1102"/>
    </row>
    <row r="140" spans="1:12" ht="15" thickBot="1" x14ac:dyDescent="0.4">
      <c r="L140" s="1102"/>
    </row>
    <row r="141" spans="1:12" ht="15" thickBot="1" x14ac:dyDescent="0.4">
      <c r="C141" s="975" t="s">
        <v>482</v>
      </c>
      <c r="D141" s="13">
        <f>'Financial  Viability  E'!C14</f>
        <v>0</v>
      </c>
      <c r="E141" s="2174" t="str">
        <f>IF(D141=0,"",IF(D141&gt;=1,"In compliance, no explanation required",IF(D141&lt;1,"Out of compliance, explanation required below:","")))</f>
        <v/>
      </c>
      <c r="F141" s="2174"/>
      <c r="G141" s="975"/>
      <c r="K141" s="1102"/>
      <c r="L141" s="1104"/>
    </row>
    <row r="142" spans="1:12" x14ac:dyDescent="0.35">
      <c r="C142" s="1105" t="s">
        <v>483</v>
      </c>
      <c r="K142" s="1102"/>
      <c r="L142" s="1104"/>
    </row>
    <row r="143" spans="1:12" ht="15" thickBot="1" x14ac:dyDescent="0.4">
      <c r="D143" s="10" t="s">
        <v>484</v>
      </c>
      <c r="K143" s="1102"/>
      <c r="L143" s="1104"/>
    </row>
    <row r="144" spans="1:12" ht="15" thickBot="1" x14ac:dyDescent="0.4">
      <c r="D144" s="2195"/>
      <c r="E144" s="2196"/>
      <c r="F144" s="2196"/>
      <c r="G144" s="2196"/>
      <c r="H144" s="2196"/>
      <c r="I144" s="2196"/>
      <c r="J144" s="2196"/>
      <c r="K144" s="2196"/>
      <c r="L144" s="2197"/>
    </row>
    <row r="145" spans="3:12" x14ac:dyDescent="0.35">
      <c r="K145" s="1102"/>
      <c r="L145" s="1104"/>
    </row>
    <row r="146" spans="3:12" x14ac:dyDescent="0.35">
      <c r="K146" s="1102"/>
      <c r="L146" s="1104"/>
    </row>
    <row r="147" spans="3:12" ht="15" thickBot="1" x14ac:dyDescent="0.4">
      <c r="D147" s="10" t="s">
        <v>485</v>
      </c>
      <c r="K147" s="1102"/>
      <c r="L147" s="1104"/>
    </row>
    <row r="148" spans="3:12" ht="15" thickBot="1" x14ac:dyDescent="0.4">
      <c r="D148" s="2195"/>
      <c r="E148" s="2196"/>
      <c r="F148" s="2196"/>
      <c r="G148" s="2196"/>
      <c r="H148" s="2196"/>
      <c r="I148" s="2196"/>
      <c r="J148" s="2196"/>
      <c r="K148" s="2196"/>
      <c r="L148" s="2197"/>
    </row>
    <row r="149" spans="3:12" x14ac:dyDescent="0.35">
      <c r="K149" s="1102"/>
      <c r="L149" s="1104"/>
    </row>
    <row r="150" spans="3:12" ht="15" thickBot="1" x14ac:dyDescent="0.4">
      <c r="K150" s="1102"/>
      <c r="L150" s="1104"/>
    </row>
    <row r="151" spans="3:12" ht="15" thickBot="1" x14ac:dyDescent="0.4">
      <c r="C151" s="975" t="s">
        <v>486</v>
      </c>
      <c r="D151" s="14">
        <f>IF(C2="DES-DDD","Standard not required for DES-DDD",'Financial  Viability  E'!C27)</f>
        <v>0</v>
      </c>
      <c r="E151" s="2174" t="str">
        <f>IF(OR(D151=0,D151="Standard not required for DES-DDD"),"",IF(D151&gt;=0,"In compliance, no explanation required",IF(D151&lt;0,"Out of compliance, explanation required below:","")))</f>
        <v/>
      </c>
      <c r="F151" s="2174"/>
      <c r="G151" s="975"/>
      <c r="K151" s="1102"/>
      <c r="L151" s="1104"/>
    </row>
    <row r="152" spans="3:12" x14ac:dyDescent="0.35">
      <c r="C152" s="1106" t="s">
        <v>487</v>
      </c>
      <c r="K152" s="1102"/>
      <c r="L152" s="1104"/>
    </row>
    <row r="153" spans="3:12" ht="15" thickBot="1" x14ac:dyDescent="0.4">
      <c r="D153" s="10" t="s">
        <v>484</v>
      </c>
      <c r="K153" s="1102"/>
      <c r="L153" s="1104"/>
    </row>
    <row r="154" spans="3:12" ht="15" thickBot="1" x14ac:dyDescent="0.4">
      <c r="D154" s="2195"/>
      <c r="E154" s="2196"/>
      <c r="F154" s="2196"/>
      <c r="G154" s="2196"/>
      <c r="H154" s="2196"/>
      <c r="I154" s="2196"/>
      <c r="J154" s="2196"/>
      <c r="K154" s="2196"/>
      <c r="L154" s="2197"/>
    </row>
    <row r="155" spans="3:12" x14ac:dyDescent="0.35">
      <c r="K155" s="1102"/>
      <c r="L155" s="1104"/>
    </row>
    <row r="156" spans="3:12" x14ac:dyDescent="0.35">
      <c r="K156" s="1102"/>
      <c r="L156" s="1104"/>
    </row>
    <row r="157" spans="3:12" ht="15" thickBot="1" x14ac:dyDescent="0.4">
      <c r="D157" s="10" t="s">
        <v>485</v>
      </c>
      <c r="K157" s="1102"/>
      <c r="L157" s="1104"/>
    </row>
    <row r="158" spans="3:12" ht="15" thickBot="1" x14ac:dyDescent="0.4">
      <c r="D158" s="2195"/>
      <c r="E158" s="2196"/>
      <c r="F158" s="2196"/>
      <c r="G158" s="2196"/>
      <c r="H158" s="2196"/>
      <c r="I158" s="2196"/>
      <c r="J158" s="2196"/>
      <c r="K158" s="2196"/>
      <c r="L158" s="2197"/>
    </row>
    <row r="159" spans="3:12" x14ac:dyDescent="0.35">
      <c r="K159" s="1102"/>
      <c r="L159" s="1104"/>
    </row>
    <row r="160" spans="3:12" ht="15" thickBot="1" x14ac:dyDescent="0.4">
      <c r="K160" s="1102"/>
      <c r="L160" s="1104"/>
    </row>
    <row r="161" spans="3:12" ht="15" thickBot="1" x14ac:dyDescent="0.4">
      <c r="C161" s="975" t="s">
        <v>488</v>
      </c>
      <c r="D161" s="15">
        <f>'Financial  Viability  E'!C43</f>
        <v>0</v>
      </c>
      <c r="E161" s="2174" t="str">
        <f>IF(D161=0,"",IF(D161&lt;=8%,"In compliance, no explanation required",IF(D161&gt;8%,"Out of compliance, explanation required below:","")))</f>
        <v/>
      </c>
      <c r="F161" s="2174"/>
      <c r="G161" s="975"/>
      <c r="K161" s="1102"/>
      <c r="L161" s="1104"/>
    </row>
    <row r="162" spans="3:12" ht="11.5" customHeight="1" x14ac:dyDescent="0.35">
      <c r="C162" s="1105" t="s">
        <v>489</v>
      </c>
      <c r="K162" s="1102"/>
      <c r="L162" s="1104"/>
    </row>
    <row r="163" spans="3:12" ht="15" thickBot="1" x14ac:dyDescent="0.4">
      <c r="D163" s="10" t="s">
        <v>484</v>
      </c>
      <c r="K163" s="1102"/>
      <c r="L163" s="1104"/>
    </row>
    <row r="164" spans="3:12" ht="15" thickBot="1" x14ac:dyDescent="0.4">
      <c r="D164" s="2195"/>
      <c r="E164" s="2196"/>
      <c r="F164" s="2196"/>
      <c r="G164" s="2196"/>
      <c r="H164" s="2196"/>
      <c r="I164" s="2196"/>
      <c r="J164" s="2196"/>
      <c r="K164" s="2196"/>
      <c r="L164" s="2197"/>
    </row>
    <row r="165" spans="3:12" x14ac:dyDescent="0.35">
      <c r="K165" s="1102"/>
      <c r="L165" s="1104"/>
    </row>
    <row r="166" spans="3:12" x14ac:dyDescent="0.35">
      <c r="K166" s="1102"/>
      <c r="L166" s="1104"/>
    </row>
    <row r="167" spans="3:12" ht="15" thickBot="1" x14ac:dyDescent="0.4">
      <c r="D167" s="10" t="s">
        <v>485</v>
      </c>
      <c r="K167" s="1102"/>
      <c r="L167" s="1104"/>
    </row>
    <row r="168" spans="3:12" ht="15" thickBot="1" x14ac:dyDescent="0.4">
      <c r="D168" s="2195"/>
      <c r="E168" s="2196"/>
      <c r="F168" s="2196"/>
      <c r="G168" s="2196"/>
      <c r="H168" s="2196"/>
      <c r="I168" s="2196"/>
      <c r="J168" s="2196"/>
      <c r="K168" s="2196"/>
      <c r="L168" s="2197"/>
    </row>
    <row r="169" spans="3:12" x14ac:dyDescent="0.35">
      <c r="K169" s="1102"/>
      <c r="L169" s="1104"/>
    </row>
    <row r="170" spans="3:12" ht="15" thickBot="1" x14ac:dyDescent="0.4">
      <c r="K170" s="1102"/>
      <c r="L170" s="1104"/>
    </row>
    <row r="171" spans="3:12" ht="15" thickBot="1" x14ac:dyDescent="0.4">
      <c r="C171" s="975" t="s">
        <v>490</v>
      </c>
      <c r="D171" s="15">
        <f>'MLR H-1  '!O101</f>
        <v>0</v>
      </c>
      <c r="E171" s="2174" t="str">
        <f>IF(D171=0,"",IF(D171&gt;=85%,"In compliance, no explanation required",IF(D171&lt;85%,"Out of compliance, explanation required below:","")))</f>
        <v/>
      </c>
      <c r="F171" s="2174"/>
      <c r="G171" s="975"/>
      <c r="K171" s="1102"/>
      <c r="L171" s="1104"/>
    </row>
    <row r="172" spans="3:12" x14ac:dyDescent="0.35">
      <c r="C172" s="1105" t="s">
        <v>491</v>
      </c>
      <c r="K172" s="1102"/>
      <c r="L172" s="1104"/>
    </row>
    <row r="173" spans="3:12" ht="15" thickBot="1" x14ac:dyDescent="0.4">
      <c r="D173" s="10" t="s">
        <v>484</v>
      </c>
      <c r="K173" s="1102"/>
      <c r="L173" s="1104"/>
    </row>
    <row r="174" spans="3:12" ht="15" thickBot="1" x14ac:dyDescent="0.4">
      <c r="D174" s="2195"/>
      <c r="E174" s="2196"/>
      <c r="F174" s="2196"/>
      <c r="G174" s="2196"/>
      <c r="H174" s="2196"/>
      <c r="I174" s="2196"/>
      <c r="J174" s="2196"/>
      <c r="K174" s="2196"/>
      <c r="L174" s="2197"/>
    </row>
    <row r="175" spans="3:12" x14ac:dyDescent="0.35">
      <c r="K175" s="1102"/>
      <c r="L175" s="1104"/>
    </row>
    <row r="176" spans="3:12" x14ac:dyDescent="0.35">
      <c r="K176" s="1102"/>
      <c r="L176" s="1104"/>
    </row>
    <row r="177" spans="1:12" ht="15" thickBot="1" x14ac:dyDescent="0.4">
      <c r="D177" s="10" t="s">
        <v>485</v>
      </c>
      <c r="K177" s="1102"/>
      <c r="L177" s="1104"/>
    </row>
    <row r="178" spans="1:12" ht="15" thickBot="1" x14ac:dyDescent="0.4">
      <c r="D178" s="2195"/>
      <c r="E178" s="2196"/>
      <c r="F178" s="2196"/>
      <c r="G178" s="2196"/>
      <c r="H178" s="2196"/>
      <c r="I178" s="2196"/>
      <c r="J178" s="2196"/>
      <c r="K178" s="2196"/>
      <c r="L178" s="2197"/>
    </row>
    <row r="179" spans="1:12" ht="15" thickBot="1" x14ac:dyDescent="0.4">
      <c r="D179" s="1107"/>
      <c r="E179" s="1107"/>
      <c r="F179" s="1107"/>
      <c r="G179" s="1107"/>
      <c r="H179" s="1107"/>
      <c r="I179" s="1107"/>
      <c r="J179" s="1107"/>
      <c r="K179" s="1107"/>
      <c r="L179" s="1108"/>
    </row>
    <row r="180" spans="1:12" ht="15" thickBot="1" x14ac:dyDescent="0.4">
      <c r="C180" s="975" t="s">
        <v>492</v>
      </c>
      <c r="D180" s="16">
        <v>0</v>
      </c>
    </row>
    <row r="181" spans="1:12" customFormat="1" x14ac:dyDescent="0.35">
      <c r="C181" s="2132" t="s">
        <v>493</v>
      </c>
    </row>
    <row r="182" spans="1:12" ht="15" thickBot="1" x14ac:dyDescent="0.4">
      <c r="D182" s="10" t="s">
        <v>1126</v>
      </c>
      <c r="E182" s="1107"/>
      <c r="F182" s="1107"/>
      <c r="G182" s="1107"/>
      <c r="H182" s="1107"/>
      <c r="I182" s="1107"/>
      <c r="J182" s="1107"/>
      <c r="K182" s="1107"/>
      <c r="L182" s="1108"/>
    </row>
    <row r="183" spans="1:12" ht="15" thickBot="1" x14ac:dyDescent="0.4">
      <c r="D183" s="2195"/>
      <c r="E183" s="2196"/>
      <c r="F183" s="2196"/>
      <c r="G183" s="2196"/>
      <c r="H183" s="2196"/>
      <c r="I183" s="2196"/>
      <c r="J183" s="2196"/>
      <c r="K183" s="2196"/>
      <c r="L183" s="2197"/>
    </row>
    <row r="184" spans="1:12" x14ac:dyDescent="0.35">
      <c r="D184" s="1107"/>
      <c r="E184" s="1107"/>
      <c r="F184" s="1107"/>
      <c r="G184" s="1107"/>
      <c r="H184" s="1107"/>
      <c r="I184" s="1107"/>
      <c r="J184" s="1107"/>
      <c r="K184" s="1107"/>
      <c r="L184" s="1108"/>
    </row>
    <row r="185" spans="1:12" x14ac:dyDescent="0.35">
      <c r="A185" s="8" t="s">
        <v>494</v>
      </c>
    </row>
    <row r="187" spans="1:12" x14ac:dyDescent="0.35">
      <c r="C187" s="8" t="s">
        <v>495</v>
      </c>
    </row>
    <row r="188" spans="1:12" x14ac:dyDescent="0.35">
      <c r="C188" s="8"/>
    </row>
    <row r="190" spans="1:12" x14ac:dyDescent="0.35">
      <c r="A190" s="8" t="s">
        <v>496</v>
      </c>
    </row>
    <row r="191" spans="1:12" s="9" customFormat="1" x14ac:dyDescent="0.35">
      <c r="A191" s="2006"/>
      <c r="B191" s="2006"/>
      <c r="C191" s="2006"/>
      <c r="D191" s="2006"/>
      <c r="E191" s="2006"/>
      <c r="F191" s="2006"/>
      <c r="G191" s="2006"/>
      <c r="H191" s="2006"/>
      <c r="I191" s="2006"/>
      <c r="J191" s="2006"/>
    </row>
    <row r="192" spans="1:12" s="9" customFormat="1" x14ac:dyDescent="0.35">
      <c r="A192" s="2006"/>
      <c r="B192" s="10" t="s">
        <v>497</v>
      </c>
      <c r="C192" s="2006"/>
      <c r="D192" s="2006"/>
      <c r="E192" s="2006"/>
      <c r="F192" s="1044" t="s">
        <v>435</v>
      </c>
      <c r="G192" s="2006"/>
      <c r="H192" s="2006"/>
      <c r="I192" s="2006"/>
      <c r="J192" s="2006"/>
    </row>
    <row r="194" spans="3:12" ht="15" thickBot="1" x14ac:dyDescent="0.4">
      <c r="C194" s="861" t="str">
        <f>IF(F192="Yes","Please complete the table below:",IF(F192="No","Explanation not required",""))</f>
        <v/>
      </c>
    </row>
    <row r="195" spans="3:12" ht="15" thickBot="1" x14ac:dyDescent="0.4">
      <c r="C195" s="1491" t="s">
        <v>498</v>
      </c>
      <c r="D195" s="1492" t="s">
        <v>499</v>
      </c>
      <c r="E195" s="1492" t="s">
        <v>188</v>
      </c>
      <c r="F195" s="1492" t="s">
        <v>500</v>
      </c>
      <c r="G195" s="1493" t="s">
        <v>501</v>
      </c>
      <c r="H195" s="1876" t="s">
        <v>470</v>
      </c>
      <c r="J195" s="2006"/>
    </row>
    <row r="196" spans="3:12" x14ac:dyDescent="0.35">
      <c r="C196" s="1109"/>
      <c r="D196" s="1110"/>
      <c r="E196" s="1110"/>
      <c r="F196" s="1111">
        <v>0</v>
      </c>
      <c r="G196" s="1112">
        <v>0</v>
      </c>
      <c r="H196" s="1113">
        <f t="shared" ref="H196:H204" si="2">F196+G196</f>
        <v>0</v>
      </c>
      <c r="J196" s="2006"/>
    </row>
    <row r="197" spans="3:12" x14ac:dyDescent="0.35">
      <c r="C197" s="1114"/>
      <c r="D197" s="1115"/>
      <c r="E197" s="1115"/>
      <c r="F197" s="1116">
        <v>0</v>
      </c>
      <c r="G197" s="1117">
        <v>0</v>
      </c>
      <c r="H197" s="1118">
        <f t="shared" si="2"/>
        <v>0</v>
      </c>
      <c r="J197" s="2006"/>
    </row>
    <row r="198" spans="3:12" x14ac:dyDescent="0.35">
      <c r="C198" s="1114"/>
      <c r="D198" s="1115"/>
      <c r="E198" s="1115"/>
      <c r="F198" s="1116">
        <v>0</v>
      </c>
      <c r="G198" s="1117">
        <v>0</v>
      </c>
      <c r="H198" s="1118">
        <f t="shared" si="2"/>
        <v>0</v>
      </c>
      <c r="J198" s="2006"/>
    </row>
    <row r="199" spans="3:12" x14ac:dyDescent="0.35">
      <c r="C199" s="1114"/>
      <c r="D199" s="1115"/>
      <c r="E199" s="1115"/>
      <c r="F199" s="1116">
        <v>0</v>
      </c>
      <c r="G199" s="1117">
        <v>0</v>
      </c>
      <c r="H199" s="1118">
        <f t="shared" si="2"/>
        <v>0</v>
      </c>
      <c r="J199" s="2006"/>
    </row>
    <row r="200" spans="3:12" x14ac:dyDescent="0.35">
      <c r="C200" s="1114"/>
      <c r="D200" s="1115"/>
      <c r="E200" s="1115"/>
      <c r="F200" s="1116">
        <v>0</v>
      </c>
      <c r="G200" s="1117">
        <v>0</v>
      </c>
      <c r="H200" s="1118">
        <f t="shared" si="2"/>
        <v>0</v>
      </c>
      <c r="J200" s="2006"/>
    </row>
    <row r="201" spans="3:12" x14ac:dyDescent="0.35">
      <c r="C201" s="1114"/>
      <c r="D201" s="1115"/>
      <c r="E201" s="1115"/>
      <c r="F201" s="1116">
        <v>0</v>
      </c>
      <c r="G201" s="1117">
        <v>0</v>
      </c>
      <c r="H201" s="1118">
        <f t="shared" si="2"/>
        <v>0</v>
      </c>
      <c r="J201" s="2006"/>
    </row>
    <row r="202" spans="3:12" x14ac:dyDescent="0.35">
      <c r="C202" s="1114"/>
      <c r="D202" s="1115"/>
      <c r="E202" s="1115"/>
      <c r="F202" s="1116">
        <v>0</v>
      </c>
      <c r="G202" s="1117">
        <v>0</v>
      </c>
      <c r="H202" s="1118">
        <f t="shared" si="2"/>
        <v>0</v>
      </c>
      <c r="J202" s="2006"/>
    </row>
    <row r="203" spans="3:12" x14ac:dyDescent="0.35">
      <c r="C203" s="1114"/>
      <c r="D203" s="1115" t="s">
        <v>502</v>
      </c>
      <c r="E203" s="1115"/>
      <c r="F203" s="1116">
        <v>0</v>
      </c>
      <c r="G203" s="1117">
        <v>0</v>
      </c>
      <c r="H203" s="1118">
        <f t="shared" si="2"/>
        <v>0</v>
      </c>
      <c r="J203" s="2006"/>
    </row>
    <row r="204" spans="3:12" ht="15" thickBot="1" x14ac:dyDescent="0.4">
      <c r="C204" s="1119"/>
      <c r="D204" s="1120" t="s">
        <v>502</v>
      </c>
      <c r="E204" s="1120"/>
      <c r="F204" s="1121">
        <v>0</v>
      </c>
      <c r="G204" s="1122">
        <v>0</v>
      </c>
      <c r="H204" s="1123">
        <f t="shared" si="2"/>
        <v>0</v>
      </c>
      <c r="J204" s="2006"/>
    </row>
    <row r="205" spans="3:12" x14ac:dyDescent="0.35">
      <c r="C205" s="2218" t="s">
        <v>503</v>
      </c>
      <c r="D205" s="2219" t="s">
        <v>504</v>
      </c>
      <c r="E205" s="2220"/>
      <c r="F205" s="1124">
        <f>SUM(F196:F204)</f>
        <v>0</v>
      </c>
      <c r="G205" s="1125">
        <f>SUM(G196:G204)</f>
        <v>0</v>
      </c>
      <c r="H205" s="1126">
        <f>SUM(H196:H204)</f>
        <v>0</v>
      </c>
      <c r="J205" s="2006"/>
    </row>
    <row r="207" spans="3:12" ht="15" thickBot="1" x14ac:dyDescent="0.4">
      <c r="C207" s="8" t="s">
        <v>478</v>
      </c>
    </row>
    <row r="208" spans="3:12" ht="15" thickBot="1" x14ac:dyDescent="0.4">
      <c r="C208" s="2195"/>
      <c r="D208" s="2196"/>
      <c r="E208" s="2196"/>
      <c r="F208" s="2196"/>
      <c r="G208" s="2196"/>
      <c r="H208" s="2196"/>
      <c r="I208" s="2196"/>
      <c r="J208" s="2196"/>
      <c r="K208" s="2196"/>
      <c r="L208" s="2197"/>
    </row>
    <row r="209" spans="1:12" x14ac:dyDescent="0.35">
      <c r="C209" s="1048"/>
      <c r="D209" s="1048"/>
      <c r="E209" s="1048"/>
      <c r="F209" s="1048"/>
      <c r="G209" s="1048"/>
      <c r="H209" s="1048"/>
      <c r="I209" s="1048"/>
      <c r="J209" s="1048"/>
      <c r="K209" s="1048"/>
      <c r="L209" s="1048"/>
    </row>
    <row r="211" spans="1:12" x14ac:dyDescent="0.35">
      <c r="A211" s="8" t="s">
        <v>505</v>
      </c>
    </row>
    <row r="212" spans="1:12" s="9" customFormat="1" x14ac:dyDescent="0.35">
      <c r="A212" s="2006"/>
      <c r="B212" s="2006"/>
      <c r="C212" s="2006"/>
      <c r="D212" s="2006"/>
      <c r="E212" s="2006"/>
      <c r="F212" s="2006"/>
      <c r="G212" s="2006"/>
      <c r="H212" s="2006"/>
      <c r="I212" s="2006"/>
      <c r="J212" s="2006"/>
      <c r="K212" s="2006"/>
      <c r="L212" s="2006"/>
    </row>
    <row r="213" spans="1:12" s="9" customFormat="1" x14ac:dyDescent="0.35">
      <c r="A213" s="2006"/>
      <c r="B213" s="10" t="s">
        <v>506</v>
      </c>
      <c r="C213" s="2006"/>
      <c r="D213" s="2006"/>
      <c r="E213" s="2006"/>
      <c r="F213" s="1044" t="s">
        <v>435</v>
      </c>
      <c r="G213" s="2006"/>
      <c r="H213" s="2006"/>
      <c r="I213" s="2006"/>
      <c r="J213" s="2006"/>
      <c r="K213" s="2006"/>
      <c r="L213" s="2006"/>
    </row>
    <row r="214" spans="1:12" s="9" customFormat="1" x14ac:dyDescent="0.35">
      <c r="A214" s="2006"/>
      <c r="B214" s="2006"/>
      <c r="C214" s="2006"/>
      <c r="D214" s="2006"/>
      <c r="E214" s="2006"/>
      <c r="F214" s="2006"/>
      <c r="G214" s="2006"/>
      <c r="H214" s="2006"/>
      <c r="I214" s="2006"/>
      <c r="J214" s="2006"/>
      <c r="K214" s="2006"/>
      <c r="L214" s="2006"/>
    </row>
    <row r="215" spans="1:12" s="9" customFormat="1" ht="15" thickBot="1" x14ac:dyDescent="0.4">
      <c r="A215" s="2006"/>
      <c r="B215" s="2006"/>
      <c r="C215" s="861" t="str">
        <f>IF(F213="Yes","Please complete the table below:",IF(F213="No","Explanation not required",""))</f>
        <v/>
      </c>
      <c r="D215" s="2006"/>
      <c r="E215" s="2006"/>
      <c r="F215" s="2006"/>
      <c r="G215" s="2006"/>
      <c r="H215" s="2006"/>
      <c r="I215" s="2006"/>
      <c r="J215" s="2006"/>
      <c r="K215" s="2006"/>
      <c r="L215" s="2006"/>
    </row>
    <row r="216" spans="1:12" s="9" customFormat="1" ht="29.5" thickBot="1" x14ac:dyDescent="0.4">
      <c r="A216" s="2006"/>
      <c r="B216" s="2006"/>
      <c r="C216" s="1495" t="s">
        <v>188</v>
      </c>
      <c r="D216" s="1496" t="s">
        <v>507</v>
      </c>
      <c r="E216" s="1934" t="s">
        <v>508</v>
      </c>
      <c r="F216" s="2006"/>
      <c r="G216" s="2006"/>
      <c r="H216" s="2006"/>
      <c r="I216" s="2006"/>
      <c r="J216" s="2006"/>
      <c r="K216" s="2006"/>
      <c r="L216" s="2006"/>
    </row>
    <row r="217" spans="1:12" s="9" customFormat="1" ht="15" thickBot="1" x14ac:dyDescent="0.4">
      <c r="A217" s="2006"/>
      <c r="B217" s="2006"/>
      <c r="C217" s="1127"/>
      <c r="D217" s="1916">
        <v>0</v>
      </c>
      <c r="E217" s="1916">
        <v>0</v>
      </c>
      <c r="F217" s="2006"/>
      <c r="G217" s="2006"/>
      <c r="H217" s="2006"/>
      <c r="I217" s="2006"/>
      <c r="J217" s="2006"/>
      <c r="K217" s="2006"/>
      <c r="L217" s="2006"/>
    </row>
    <row r="218" spans="1:12" s="9" customFormat="1" x14ac:dyDescent="0.35">
      <c r="A218" s="2006"/>
      <c r="B218" s="2006"/>
      <c r="C218" s="2006"/>
      <c r="D218" s="2006"/>
      <c r="E218" s="2006"/>
      <c r="F218" s="2006"/>
      <c r="G218" s="2006"/>
      <c r="H218" s="2006"/>
      <c r="I218" s="2006"/>
      <c r="J218" s="2006"/>
      <c r="K218" s="2006"/>
      <c r="L218" s="2006"/>
    </row>
    <row r="219" spans="1:12" s="9" customFormat="1" x14ac:dyDescent="0.35">
      <c r="A219" s="2006"/>
      <c r="B219" s="2006"/>
      <c r="C219" s="2006"/>
      <c r="D219" s="2006"/>
      <c r="E219" s="2006"/>
      <c r="F219" s="1128"/>
      <c r="G219" s="1129"/>
      <c r="H219" s="2006"/>
      <c r="I219" s="2006"/>
      <c r="J219" s="2006"/>
      <c r="K219" s="2006"/>
      <c r="L219" s="2006"/>
    </row>
    <row r="220" spans="1:12" s="9" customFormat="1" x14ac:dyDescent="0.35">
      <c r="B220" s="10" t="s">
        <v>509</v>
      </c>
      <c r="C220" s="2006"/>
      <c r="D220" s="2006"/>
      <c r="E220" s="1044" t="s">
        <v>435</v>
      </c>
      <c r="F220" s="1128"/>
      <c r="G220" s="1129"/>
      <c r="H220" s="2006"/>
    </row>
    <row r="221" spans="1:12" s="9" customFormat="1" x14ac:dyDescent="0.35">
      <c r="B221" s="2006"/>
      <c r="C221" s="2006"/>
      <c r="D221" s="2006"/>
      <c r="E221" s="2006"/>
      <c r="F221" s="2006"/>
      <c r="G221" s="2006"/>
      <c r="H221" s="2006"/>
    </row>
    <row r="222" spans="1:12" ht="15" thickBot="1" x14ac:dyDescent="0.4">
      <c r="C222" s="861" t="str">
        <f>IF(E220="Yes","Please complete the table below:",IF(E220="No","Explanation not required",""))</f>
        <v/>
      </c>
    </row>
    <row r="223" spans="1:12" ht="15" customHeight="1" thickBot="1" x14ac:dyDescent="0.4">
      <c r="C223" s="1497" t="s">
        <v>510</v>
      </c>
      <c r="D223" s="1498">
        <f>YEAR('Instruction &amp; Audit Report B '!$C$23)</f>
        <v>2025</v>
      </c>
      <c r="E223" s="1130"/>
      <c r="F223" s="1131"/>
      <c r="G223" s="1131"/>
    </row>
    <row r="224" spans="1:12" ht="15" thickBot="1" x14ac:dyDescent="0.4">
      <c r="C224" s="1669" t="s">
        <v>511</v>
      </c>
      <c r="D224" s="1670" t="s">
        <v>512</v>
      </c>
      <c r="E224" s="1671" t="s">
        <v>513</v>
      </c>
      <c r="F224" s="1671" t="s">
        <v>188</v>
      </c>
      <c r="G224" s="1672" t="s">
        <v>457</v>
      </c>
      <c r="H224" s="2006"/>
    </row>
    <row r="225" spans="2:8" x14ac:dyDescent="0.35">
      <c r="C225" s="1132" t="s">
        <v>514</v>
      </c>
      <c r="D225" s="1133"/>
      <c r="E225" s="1133"/>
      <c r="F225" s="1133"/>
      <c r="G225" s="1134">
        <v>0</v>
      </c>
      <c r="H225" s="2006"/>
    </row>
    <row r="226" spans="2:8" x14ac:dyDescent="0.35">
      <c r="C226" s="1135" t="s">
        <v>514</v>
      </c>
      <c r="D226" s="1136"/>
      <c r="E226" s="1136"/>
      <c r="F226" s="1136"/>
      <c r="G226" s="1137">
        <v>0</v>
      </c>
      <c r="H226" s="2006"/>
    </row>
    <row r="227" spans="2:8" x14ac:dyDescent="0.35">
      <c r="C227" s="1135" t="s">
        <v>514</v>
      </c>
      <c r="D227" s="1136"/>
      <c r="E227" s="1136"/>
      <c r="F227" s="1136"/>
      <c r="G227" s="1137">
        <v>0</v>
      </c>
      <c r="H227" s="2006"/>
    </row>
    <row r="228" spans="2:8" x14ac:dyDescent="0.35">
      <c r="C228" s="1135" t="s">
        <v>514</v>
      </c>
      <c r="D228" s="1136"/>
      <c r="E228" s="1136"/>
      <c r="F228" s="1136"/>
      <c r="G228" s="1137">
        <v>0</v>
      </c>
      <c r="H228" s="2006"/>
    </row>
    <row r="229" spans="2:8" x14ac:dyDescent="0.35">
      <c r="C229" s="1135" t="s">
        <v>514</v>
      </c>
      <c r="D229" s="1136"/>
      <c r="E229" s="1136"/>
      <c r="F229" s="1136"/>
      <c r="G229" s="1137">
        <v>0</v>
      </c>
      <c r="H229" s="2006"/>
    </row>
    <row r="230" spans="2:8" ht="15" thickBot="1" x14ac:dyDescent="0.4">
      <c r="C230" s="1138" t="s">
        <v>514</v>
      </c>
      <c r="D230" s="1139"/>
      <c r="E230" s="1139"/>
      <c r="F230" s="1139"/>
      <c r="G230" s="1140">
        <v>0</v>
      </c>
      <c r="H230" s="2006"/>
    </row>
    <row r="231" spans="2:8" ht="15" thickBot="1" x14ac:dyDescent="0.4">
      <c r="C231" s="17"/>
      <c r="D231" s="18"/>
      <c r="E231" s="18"/>
      <c r="F231" s="1141" t="s">
        <v>470</v>
      </c>
      <c r="G231" s="1142">
        <f>SUM(G225:G230)</f>
        <v>0</v>
      </c>
      <c r="H231" s="2006"/>
    </row>
    <row r="232" spans="2:8" x14ac:dyDescent="0.35">
      <c r="C232" s="2006"/>
      <c r="D232" s="2006"/>
      <c r="E232" s="2006"/>
      <c r="F232" s="1128"/>
      <c r="G232" s="1129"/>
    </row>
    <row r="233" spans="2:8" x14ac:dyDescent="0.35">
      <c r="B233" s="10" t="s">
        <v>515</v>
      </c>
      <c r="C233" s="2006"/>
      <c r="D233" s="2006"/>
      <c r="E233" s="1044" t="s">
        <v>435</v>
      </c>
      <c r="F233" s="1128"/>
      <c r="G233" s="1129"/>
    </row>
    <row r="234" spans="2:8" x14ac:dyDescent="0.35">
      <c r="B234" s="2006"/>
      <c r="C234" s="2006"/>
      <c r="D234" s="2006"/>
      <c r="E234" s="2006"/>
      <c r="F234" s="2006"/>
      <c r="G234" s="2006"/>
    </row>
    <row r="235" spans="2:8" ht="15" thickBot="1" x14ac:dyDescent="0.4">
      <c r="C235" s="861" t="str">
        <f>IF(E233="Yes","Please complete the table below:",IF(E233="No","Explanation not required",""))</f>
        <v/>
      </c>
    </row>
    <row r="236" spans="2:8" ht="15" thickBot="1" x14ac:dyDescent="0.4">
      <c r="C236" s="1497" t="s">
        <v>510</v>
      </c>
      <c r="D236" s="1498">
        <f>D223</f>
        <v>2025</v>
      </c>
      <c r="E236" s="1130"/>
      <c r="F236" s="1131"/>
      <c r="G236" s="1131"/>
    </row>
    <row r="237" spans="2:8" ht="15" thickBot="1" x14ac:dyDescent="0.4">
      <c r="C237" s="1673" t="s">
        <v>511</v>
      </c>
      <c r="D237" s="1674" t="s">
        <v>513</v>
      </c>
      <c r="E237" s="1674" t="s">
        <v>188</v>
      </c>
      <c r="F237" s="1674" t="s">
        <v>516</v>
      </c>
      <c r="G237" s="1675" t="s">
        <v>457</v>
      </c>
    </row>
    <row r="238" spans="2:8" x14ac:dyDescent="0.35">
      <c r="C238" s="1132" t="s">
        <v>514</v>
      </c>
      <c r="D238" s="1133"/>
      <c r="E238" s="1133"/>
      <c r="F238" s="1133"/>
      <c r="G238" s="1134">
        <v>0</v>
      </c>
    </row>
    <row r="239" spans="2:8" x14ac:dyDescent="0.35">
      <c r="C239" s="1135" t="s">
        <v>514</v>
      </c>
      <c r="D239" s="1136"/>
      <c r="E239" s="1136"/>
      <c r="F239" s="1136"/>
      <c r="G239" s="1137">
        <v>0</v>
      </c>
    </row>
    <row r="240" spans="2:8" x14ac:dyDescent="0.35">
      <c r="C240" s="1135" t="s">
        <v>514</v>
      </c>
      <c r="D240" s="1136"/>
      <c r="E240" s="1136"/>
      <c r="F240" s="1136"/>
      <c r="G240" s="1137">
        <v>0</v>
      </c>
    </row>
    <row r="241" spans="3:8" x14ac:dyDescent="0.35">
      <c r="C241" s="1135" t="s">
        <v>514</v>
      </c>
      <c r="D241" s="1136"/>
      <c r="E241" s="1136"/>
      <c r="F241" s="1136"/>
      <c r="G241" s="1137">
        <v>0</v>
      </c>
    </row>
    <row r="242" spans="3:8" x14ac:dyDescent="0.35">
      <c r="C242" s="1135" t="s">
        <v>514</v>
      </c>
      <c r="D242" s="1136"/>
      <c r="E242" s="1136"/>
      <c r="F242" s="1136"/>
      <c r="G242" s="1137">
        <v>0</v>
      </c>
    </row>
    <row r="243" spans="3:8" ht="15" thickBot="1" x14ac:dyDescent="0.4">
      <c r="C243" s="1138" t="s">
        <v>514</v>
      </c>
      <c r="D243" s="1139"/>
      <c r="E243" s="1139"/>
      <c r="F243" s="1139"/>
      <c r="G243" s="1140">
        <v>0</v>
      </c>
    </row>
    <row r="244" spans="3:8" ht="15" thickBot="1" x14ac:dyDescent="0.4">
      <c r="C244" s="17"/>
      <c r="D244" s="18"/>
      <c r="E244" s="18"/>
      <c r="F244" s="1141" t="s">
        <v>470</v>
      </c>
      <c r="G244" s="1142">
        <f>SUM(G238:G243)</f>
        <v>0</v>
      </c>
    </row>
    <row r="245" spans="3:8" x14ac:dyDescent="0.35">
      <c r="C245" s="2006"/>
      <c r="D245" s="2006"/>
      <c r="E245" s="2006"/>
      <c r="F245" s="2006"/>
      <c r="G245" s="1128"/>
      <c r="H245" s="1129"/>
    </row>
    <row r="246" spans="3:8" ht="15" thickBot="1" x14ac:dyDescent="0.4">
      <c r="C246" s="2006"/>
      <c r="D246" s="2006"/>
      <c r="E246" s="2006"/>
      <c r="F246" s="1128"/>
      <c r="G246" s="1129"/>
    </row>
    <row r="247" spans="3:8" ht="15" thickBot="1" x14ac:dyDescent="0.4">
      <c r="C247" s="1497" t="s">
        <v>517</v>
      </c>
      <c r="D247" s="1498">
        <f>D236-1</f>
        <v>2024</v>
      </c>
      <c r="E247" s="1130"/>
      <c r="F247" s="1131"/>
      <c r="G247" s="1131"/>
    </row>
    <row r="248" spans="3:8" ht="15" thickBot="1" x14ac:dyDescent="0.4">
      <c r="C248" s="1673" t="s">
        <v>511</v>
      </c>
      <c r="D248" s="1674" t="s">
        <v>513</v>
      </c>
      <c r="E248" s="1674" t="s">
        <v>188</v>
      </c>
      <c r="F248" s="1674" t="s">
        <v>516</v>
      </c>
      <c r="G248" s="1675" t="s">
        <v>457</v>
      </c>
    </row>
    <row r="249" spans="3:8" x14ac:dyDescent="0.35">
      <c r="C249" s="1132" t="s">
        <v>514</v>
      </c>
      <c r="D249" s="1133"/>
      <c r="E249" s="1133"/>
      <c r="F249" s="1133"/>
      <c r="G249" s="1143">
        <v>0</v>
      </c>
    </row>
    <row r="250" spans="3:8" x14ac:dyDescent="0.35">
      <c r="C250" s="1135" t="s">
        <v>514</v>
      </c>
      <c r="D250" s="1136"/>
      <c r="E250" s="1136"/>
      <c r="F250" s="1136"/>
      <c r="G250" s="1144">
        <v>0</v>
      </c>
    </row>
    <row r="251" spans="3:8" x14ac:dyDescent="0.35">
      <c r="C251" s="1135" t="s">
        <v>514</v>
      </c>
      <c r="D251" s="1136"/>
      <c r="E251" s="1136"/>
      <c r="F251" s="1136"/>
      <c r="G251" s="1144">
        <v>0</v>
      </c>
    </row>
    <row r="252" spans="3:8" x14ac:dyDescent="0.35">
      <c r="C252" s="1135" t="s">
        <v>514</v>
      </c>
      <c r="D252" s="1136"/>
      <c r="E252" s="1136"/>
      <c r="F252" s="1136"/>
      <c r="G252" s="1144">
        <v>0</v>
      </c>
    </row>
    <row r="253" spans="3:8" x14ac:dyDescent="0.35">
      <c r="C253" s="1135" t="s">
        <v>514</v>
      </c>
      <c r="D253" s="1136"/>
      <c r="E253" s="1136"/>
      <c r="F253" s="1136"/>
      <c r="G253" s="1144">
        <v>0</v>
      </c>
    </row>
    <row r="254" spans="3:8" ht="15" thickBot="1" x14ac:dyDescent="0.4">
      <c r="C254" s="1138" t="s">
        <v>514</v>
      </c>
      <c r="D254" s="1139"/>
      <c r="E254" s="1139"/>
      <c r="F254" s="1139"/>
      <c r="G254" s="1145">
        <v>0</v>
      </c>
    </row>
    <row r="255" spans="3:8" ht="15" thickBot="1" x14ac:dyDescent="0.4">
      <c r="C255" s="17"/>
      <c r="D255" s="18"/>
      <c r="E255" s="18"/>
      <c r="F255" s="1141" t="s">
        <v>470</v>
      </c>
      <c r="G255" s="1142">
        <f>SUM(G249:G254)</f>
        <v>0</v>
      </c>
    </row>
    <row r="256" spans="3:8" x14ac:dyDescent="0.35">
      <c r="C256" s="12" t="str">
        <f>IF(E233="Yes","*Note: Select None from the previous contract year drop down menu if there were no member incentives for the entire previous contract year","")</f>
        <v/>
      </c>
      <c r="D256" s="2006"/>
      <c r="E256" s="2006"/>
      <c r="F256" s="2006"/>
      <c r="G256" s="2006"/>
    </row>
    <row r="257" spans="1:11" x14ac:dyDescent="0.35">
      <c r="B257" s="2015"/>
    </row>
    <row r="258" spans="1:11" x14ac:dyDescent="0.35">
      <c r="A258" s="8" t="s">
        <v>518</v>
      </c>
    </row>
    <row r="259" spans="1:11" s="9" customFormat="1" x14ac:dyDescent="0.35">
      <c r="A259" s="2006"/>
      <c r="B259" s="2006"/>
      <c r="C259" s="2006"/>
      <c r="D259" s="2006"/>
      <c r="E259" s="2006"/>
      <c r="F259" s="2006"/>
      <c r="G259" s="2006"/>
      <c r="H259" s="2006"/>
      <c r="I259" s="2006"/>
      <c r="J259" s="2006"/>
      <c r="K259" s="2006"/>
    </row>
    <row r="260" spans="1:11" s="9" customFormat="1" x14ac:dyDescent="0.35">
      <c r="A260" s="2006"/>
      <c r="B260" s="10" t="s">
        <v>519</v>
      </c>
      <c r="C260" s="2006"/>
      <c r="D260" s="1044" t="s">
        <v>435</v>
      </c>
      <c r="E260" s="2006"/>
      <c r="F260" s="2006"/>
      <c r="G260" s="2006"/>
      <c r="H260" s="2006"/>
      <c r="I260" s="2006"/>
      <c r="J260" s="2006"/>
      <c r="K260" s="2006"/>
    </row>
    <row r="261" spans="1:11" s="9" customFormat="1" ht="15" thickBot="1" x14ac:dyDescent="0.4">
      <c r="A261" s="2006"/>
      <c r="B261" s="2006"/>
      <c r="C261" s="2006"/>
      <c r="D261" s="2006"/>
      <c r="E261" s="2006"/>
      <c r="F261" s="2006"/>
      <c r="G261" s="2006"/>
      <c r="H261" s="2006"/>
      <c r="I261" s="2006"/>
      <c r="J261" s="2006"/>
      <c r="K261" s="2006"/>
    </row>
    <row r="262" spans="1:11" s="9" customFormat="1" ht="15" thickBot="1" x14ac:dyDescent="0.4">
      <c r="A262" s="1146"/>
      <c r="B262" s="1146"/>
      <c r="C262" s="1489" t="s">
        <v>520</v>
      </c>
      <c r="D262" s="1490" t="s">
        <v>521</v>
      </c>
      <c r="E262" s="2221" t="s">
        <v>522</v>
      </c>
      <c r="F262" s="2143"/>
      <c r="G262" s="2143"/>
      <c r="H262" s="2143"/>
      <c r="I262" s="2143"/>
      <c r="J262" s="2143"/>
      <c r="K262" s="2144"/>
    </row>
    <row r="263" spans="1:11" s="9" customFormat="1" x14ac:dyDescent="0.35">
      <c r="A263" s="1146"/>
      <c r="B263" s="1146"/>
      <c r="C263" s="2016">
        <v>0</v>
      </c>
      <c r="D263" s="2010"/>
      <c r="E263" s="2222"/>
      <c r="F263" s="2222"/>
      <c r="G263" s="2222"/>
      <c r="H263" s="2222"/>
      <c r="I263" s="2222"/>
      <c r="J263" s="2222"/>
      <c r="K263" s="2223"/>
    </row>
    <row r="264" spans="1:11" s="9" customFormat="1" x14ac:dyDescent="0.35">
      <c r="A264" s="1146"/>
      <c r="B264" s="1146"/>
      <c r="C264" s="2017">
        <v>0</v>
      </c>
      <c r="D264" s="2012"/>
      <c r="E264" s="2224"/>
      <c r="F264" s="2224"/>
      <c r="G264" s="2224"/>
      <c r="H264" s="2224"/>
      <c r="I264" s="2224"/>
      <c r="J264" s="2224"/>
      <c r="K264" s="2225"/>
    </row>
    <row r="265" spans="1:11" s="9" customFormat="1" x14ac:dyDescent="0.35">
      <c r="A265" s="1146"/>
      <c r="B265" s="1146"/>
      <c r="C265" s="2017">
        <v>0</v>
      </c>
      <c r="D265" s="2012"/>
      <c r="E265" s="2224"/>
      <c r="F265" s="2224"/>
      <c r="G265" s="2224"/>
      <c r="H265" s="2224"/>
      <c r="I265" s="2224"/>
      <c r="J265" s="2224"/>
      <c r="K265" s="2225"/>
    </row>
    <row r="266" spans="1:11" s="9" customFormat="1" x14ac:dyDescent="0.35">
      <c r="A266" s="1146"/>
      <c r="B266" s="1146"/>
      <c r="C266" s="2017">
        <v>0</v>
      </c>
      <c r="D266" s="2012"/>
      <c r="E266" s="2224"/>
      <c r="F266" s="2224"/>
      <c r="G266" s="2224"/>
      <c r="H266" s="2224"/>
      <c r="I266" s="2224"/>
      <c r="J266" s="2224"/>
      <c r="K266" s="2225"/>
    </row>
    <row r="267" spans="1:11" s="9" customFormat="1" x14ac:dyDescent="0.35">
      <c r="A267" s="1146"/>
      <c r="B267" s="1146"/>
      <c r="C267" s="2017">
        <v>0</v>
      </c>
      <c r="D267" s="2012"/>
      <c r="E267" s="2224"/>
      <c r="F267" s="2224"/>
      <c r="G267" s="2224"/>
      <c r="H267" s="2224"/>
      <c r="I267" s="2224"/>
      <c r="J267" s="2224"/>
      <c r="K267" s="2225"/>
    </row>
    <row r="268" spans="1:11" s="9" customFormat="1" x14ac:dyDescent="0.35">
      <c r="A268" s="1146"/>
      <c r="B268" s="1146"/>
      <c r="C268" s="2017">
        <v>0</v>
      </c>
      <c r="D268" s="2012"/>
      <c r="E268" s="2224"/>
      <c r="F268" s="2224"/>
      <c r="G268" s="2224"/>
      <c r="H268" s="2224"/>
      <c r="I268" s="2224"/>
      <c r="J268" s="2224"/>
      <c r="K268" s="2225"/>
    </row>
    <row r="269" spans="1:11" s="9" customFormat="1" x14ac:dyDescent="0.35">
      <c r="A269" s="1146"/>
      <c r="B269" s="1146"/>
      <c r="C269" s="2017">
        <v>0</v>
      </c>
      <c r="D269" s="2012"/>
      <c r="E269" s="2224"/>
      <c r="F269" s="2224"/>
      <c r="G269" s="2224"/>
      <c r="H269" s="2224"/>
      <c r="I269" s="2224"/>
      <c r="J269" s="2224"/>
      <c r="K269" s="2225"/>
    </row>
    <row r="270" spans="1:11" s="9" customFormat="1" x14ac:dyDescent="0.35">
      <c r="A270" s="1146"/>
      <c r="B270" s="1146"/>
      <c r="C270" s="2017">
        <v>0</v>
      </c>
      <c r="D270" s="2012"/>
      <c r="E270" s="2224"/>
      <c r="F270" s="2224"/>
      <c r="G270" s="2224"/>
      <c r="H270" s="2224"/>
      <c r="I270" s="2224"/>
      <c r="J270" s="2224"/>
      <c r="K270" s="2225"/>
    </row>
    <row r="271" spans="1:11" s="9" customFormat="1" x14ac:dyDescent="0.35">
      <c r="A271" s="1146"/>
      <c r="B271" s="1146"/>
      <c r="C271" s="2017">
        <v>0</v>
      </c>
      <c r="D271" s="2012"/>
      <c r="E271" s="2224"/>
      <c r="F271" s="2224"/>
      <c r="G271" s="2224"/>
      <c r="H271" s="2224"/>
      <c r="I271" s="2224"/>
      <c r="J271" s="2224"/>
      <c r="K271" s="2225"/>
    </row>
    <row r="272" spans="1:11" s="9" customFormat="1" ht="15" thickBot="1" x14ac:dyDescent="0.4">
      <c r="A272" s="1146"/>
      <c r="B272" s="1146"/>
      <c r="C272" s="2018">
        <v>0</v>
      </c>
      <c r="D272" s="2014"/>
      <c r="E272" s="2226"/>
      <c r="F272" s="2226"/>
      <c r="G272" s="2226"/>
      <c r="H272" s="2226"/>
      <c r="I272" s="2226"/>
      <c r="J272" s="2226"/>
      <c r="K272" s="2227"/>
    </row>
    <row r="273" spans="1:11" s="21" customFormat="1" ht="15" thickBot="1" x14ac:dyDescent="0.4">
      <c r="A273" s="1146"/>
      <c r="B273" s="1146"/>
      <c r="C273" s="1765">
        <f>SUM(C263:C272)</f>
        <v>0</v>
      </c>
      <c r="D273" s="1766"/>
      <c r="E273" s="1767"/>
      <c r="F273" s="1767"/>
      <c r="G273" s="1767"/>
      <c r="H273" s="1767"/>
      <c r="I273" s="1767"/>
      <c r="J273" s="1767"/>
      <c r="K273" s="1768"/>
    </row>
    <row r="274" spans="1:11" s="21" customFormat="1" x14ac:dyDescent="0.35">
      <c r="A274" s="1146"/>
      <c r="B274" s="1146"/>
      <c r="C274" s="1147"/>
      <c r="D274" s="1148"/>
      <c r="E274" s="1148"/>
      <c r="F274" s="1148"/>
      <c r="G274" s="1148"/>
      <c r="H274" s="1148"/>
      <c r="I274" s="1148"/>
      <c r="J274" s="1148"/>
      <c r="K274" s="1148"/>
    </row>
    <row r="275" spans="1:11" ht="12.65" customHeight="1" x14ac:dyDescent="0.35">
      <c r="D275" s="19"/>
    </row>
    <row r="276" spans="1:11" x14ac:dyDescent="0.35">
      <c r="A276" s="11" t="s">
        <v>523</v>
      </c>
      <c r="D276" s="21"/>
    </row>
    <row r="278" spans="1:11" x14ac:dyDescent="0.35">
      <c r="B278" s="10" t="s">
        <v>524</v>
      </c>
      <c r="F278" s="1044" t="s">
        <v>435</v>
      </c>
    </row>
    <row r="280" spans="1:11" ht="15" thickBot="1" x14ac:dyDescent="0.4">
      <c r="C280" s="861" t="str">
        <f>IF(F278="Yes","Please complete the table below:",IF(F278="No","Explanation not required",""))</f>
        <v/>
      </c>
    </row>
    <row r="281" spans="1:11" ht="15" thickBot="1" x14ac:dyDescent="0.4">
      <c r="C281" s="1486" t="s">
        <v>188</v>
      </c>
      <c r="D281" s="1499" t="s">
        <v>507</v>
      </c>
      <c r="E281" s="1935" t="s">
        <v>525</v>
      </c>
    </row>
    <row r="282" spans="1:11" x14ac:dyDescent="0.35">
      <c r="C282" s="1149"/>
      <c r="D282" s="1150">
        <v>0</v>
      </c>
      <c r="E282" s="1151">
        <v>0</v>
      </c>
    </row>
    <row r="283" spans="1:11" x14ac:dyDescent="0.35">
      <c r="C283" s="1152"/>
      <c r="D283" s="1153">
        <v>0</v>
      </c>
      <c r="E283" s="1154">
        <v>0</v>
      </c>
    </row>
    <row r="284" spans="1:11" x14ac:dyDescent="0.35">
      <c r="C284" s="1152"/>
      <c r="D284" s="1153">
        <v>0</v>
      </c>
      <c r="E284" s="1154">
        <v>0</v>
      </c>
    </row>
    <row r="285" spans="1:11" x14ac:dyDescent="0.35">
      <c r="C285" s="1152"/>
      <c r="D285" s="1153">
        <v>0</v>
      </c>
      <c r="E285" s="1154">
        <v>0</v>
      </c>
    </row>
    <row r="286" spans="1:11" x14ac:dyDescent="0.35">
      <c r="C286" s="1152"/>
      <c r="D286" s="1153">
        <v>0</v>
      </c>
      <c r="E286" s="1154">
        <v>0</v>
      </c>
    </row>
    <row r="287" spans="1:11" x14ac:dyDescent="0.35">
      <c r="C287" s="1152"/>
      <c r="D287" s="1153">
        <v>0</v>
      </c>
      <c r="E287" s="1154">
        <v>0</v>
      </c>
    </row>
    <row r="288" spans="1:11" x14ac:dyDescent="0.35">
      <c r="C288" s="1152"/>
      <c r="D288" s="1153">
        <v>0</v>
      </c>
      <c r="E288" s="1154">
        <v>0</v>
      </c>
    </row>
    <row r="289" spans="1:15" x14ac:dyDescent="0.35">
      <c r="C289" s="1152"/>
      <c r="D289" s="1153">
        <v>0</v>
      </c>
      <c r="E289" s="1154">
        <v>0</v>
      </c>
    </row>
    <row r="290" spans="1:15" ht="15" thickBot="1" x14ac:dyDescent="0.4">
      <c r="C290" s="1155"/>
      <c r="D290" s="1156">
        <v>0</v>
      </c>
      <c r="E290" s="1157">
        <v>0</v>
      </c>
    </row>
    <row r="291" spans="1:15" ht="15" thickBot="1" x14ac:dyDescent="0.4">
      <c r="C291" s="1158" t="s">
        <v>470</v>
      </c>
      <c r="D291" s="1159">
        <f>SUM(D282:D290)</f>
        <v>0</v>
      </c>
      <c r="E291" s="1160">
        <f>SUM(E282:E290)</f>
        <v>0</v>
      </c>
    </row>
    <row r="293" spans="1:15" ht="15" thickBot="1" x14ac:dyDescent="0.4">
      <c r="C293" s="8" t="s">
        <v>478</v>
      </c>
    </row>
    <row r="294" spans="1:15" ht="15" thickBot="1" x14ac:dyDescent="0.4">
      <c r="C294" s="2199"/>
      <c r="D294" s="2200"/>
      <c r="E294" s="2200"/>
      <c r="F294" s="2200"/>
      <c r="G294" s="2200"/>
      <c r="H294" s="2200"/>
      <c r="I294" s="2200"/>
      <c r="J294" s="2200"/>
      <c r="K294" s="2200"/>
      <c r="L294" s="2201"/>
    </row>
    <row r="296" spans="1:15" x14ac:dyDescent="0.35">
      <c r="A296" s="8"/>
    </row>
    <row r="297" spans="1:15" x14ac:dyDescent="0.35">
      <c r="A297" s="8" t="s">
        <v>526</v>
      </c>
      <c r="B297" s="2015"/>
      <c r="D297" s="21"/>
    </row>
    <row r="298" spans="1:15" x14ac:dyDescent="0.35">
      <c r="A298" s="8"/>
      <c r="B298" s="2015"/>
    </row>
    <row r="299" spans="1:15" ht="15" thickBot="1" x14ac:dyDescent="0.4">
      <c r="A299" s="8"/>
      <c r="B299" s="2015" t="s">
        <v>527</v>
      </c>
    </row>
    <row r="300" spans="1:15" ht="15" thickBot="1" x14ac:dyDescent="0.4">
      <c r="A300" s="8"/>
      <c r="B300" s="2015"/>
      <c r="N300" s="2187" t="s">
        <v>528</v>
      </c>
      <c r="O300" s="2188"/>
    </row>
    <row r="301" spans="1:15" ht="15" thickBot="1" x14ac:dyDescent="0.4">
      <c r="A301" s="8"/>
      <c r="B301" s="2015"/>
      <c r="F301" s="2189" t="str">
        <f>IFERROR(EOMONTH(H301,-3),"mm/dd/yyyy")</f>
        <v>mm/dd/yyyy</v>
      </c>
      <c r="G301" s="2190"/>
      <c r="H301" s="2191" t="str">
        <f>IFERROR(EOMONTH(J301,-3),"mm/dd/yyyy")</f>
        <v>mm/dd/yyyy</v>
      </c>
      <c r="I301" s="2192"/>
      <c r="J301" s="2189" t="str">
        <f>IFERROR(EOMONTH(L301,-3),"mm/dd/yyyy")</f>
        <v>mm/dd/yyyy</v>
      </c>
      <c r="K301" s="2190"/>
      <c r="L301" s="2189" t="str">
        <f>N301</f>
        <v>mm/dd/yyyy</v>
      </c>
      <c r="M301" s="2190"/>
      <c r="N301" s="2193" t="str">
        <f>'Instruction &amp; Audit Report B '!C22</f>
        <v>mm/dd/yyyy</v>
      </c>
      <c r="O301" s="2194"/>
    </row>
    <row r="302" spans="1:15" ht="15" thickBot="1" x14ac:dyDescent="0.4">
      <c r="A302" s="8"/>
      <c r="B302" s="2015"/>
      <c r="C302" s="2166" t="s">
        <v>529</v>
      </c>
      <c r="D302" s="2167"/>
      <c r="E302" s="1677" t="s">
        <v>530</v>
      </c>
      <c r="F302" s="1669" t="s">
        <v>531</v>
      </c>
      <c r="G302" s="1676" t="s">
        <v>532</v>
      </c>
      <c r="H302" s="1670" t="s">
        <v>531</v>
      </c>
      <c r="I302" s="1677" t="s">
        <v>532</v>
      </c>
      <c r="J302" s="1669" t="s">
        <v>531</v>
      </c>
      <c r="K302" s="1665" t="s">
        <v>532</v>
      </c>
      <c r="L302" s="1669" t="s">
        <v>531</v>
      </c>
      <c r="M302" s="1665" t="s">
        <v>532</v>
      </c>
      <c r="N302" s="1670" t="s">
        <v>531</v>
      </c>
      <c r="O302" s="1665" t="s">
        <v>532</v>
      </c>
    </row>
    <row r="303" spans="1:15" x14ac:dyDescent="0.35">
      <c r="A303" s="8"/>
      <c r="B303" s="2015"/>
      <c r="C303" s="1974"/>
      <c r="D303" s="1975"/>
      <c r="E303" s="1161"/>
      <c r="F303" s="1162">
        <v>0</v>
      </c>
      <c r="G303" s="1163">
        <v>0</v>
      </c>
      <c r="H303" s="1164">
        <v>0</v>
      </c>
      <c r="I303" s="1165">
        <v>0</v>
      </c>
      <c r="J303" s="1162">
        <v>0</v>
      </c>
      <c r="K303" s="1163">
        <v>0</v>
      </c>
      <c r="L303" s="1162">
        <v>0</v>
      </c>
      <c r="M303" s="1163">
        <v>0</v>
      </c>
      <c r="N303" s="1166">
        <f>F303+H303+J303+L303</f>
        <v>0</v>
      </c>
      <c r="O303" s="1167">
        <f>G303+I303+K303+M303</f>
        <v>0</v>
      </c>
    </row>
    <row r="304" spans="1:15" x14ac:dyDescent="0.35">
      <c r="A304" s="8"/>
      <c r="B304" s="2015"/>
      <c r="C304" s="1976"/>
      <c r="D304" s="1977"/>
      <c r="E304" s="1168"/>
      <c r="F304" s="1169">
        <v>0</v>
      </c>
      <c r="G304" s="1170">
        <v>0</v>
      </c>
      <c r="H304" s="1171">
        <v>0</v>
      </c>
      <c r="I304" s="1172">
        <v>0</v>
      </c>
      <c r="J304" s="1169">
        <v>0</v>
      </c>
      <c r="K304" s="1170">
        <v>0</v>
      </c>
      <c r="L304" s="1169">
        <v>0</v>
      </c>
      <c r="M304" s="1170">
        <v>0</v>
      </c>
      <c r="N304" s="1173">
        <f t="shared" ref="N304:O313" si="3">F304+H304+J304+L304</f>
        <v>0</v>
      </c>
      <c r="O304" s="1174">
        <f t="shared" si="3"/>
        <v>0</v>
      </c>
    </row>
    <row r="305" spans="1:15" x14ac:dyDescent="0.35">
      <c r="A305" s="8"/>
      <c r="B305" s="2015"/>
      <c r="C305" s="1976"/>
      <c r="D305" s="1977"/>
      <c r="E305" s="1168"/>
      <c r="F305" s="1169">
        <v>0</v>
      </c>
      <c r="G305" s="1170">
        <v>0</v>
      </c>
      <c r="H305" s="1171">
        <v>0</v>
      </c>
      <c r="I305" s="1172">
        <v>0</v>
      </c>
      <c r="J305" s="1169">
        <v>0</v>
      </c>
      <c r="K305" s="1170">
        <v>0</v>
      </c>
      <c r="L305" s="1169">
        <v>0</v>
      </c>
      <c r="M305" s="1170">
        <v>0</v>
      </c>
      <c r="N305" s="1173">
        <f t="shared" si="3"/>
        <v>0</v>
      </c>
      <c r="O305" s="1174">
        <f t="shared" si="3"/>
        <v>0</v>
      </c>
    </row>
    <row r="306" spans="1:15" x14ac:dyDescent="0.35">
      <c r="A306" s="8"/>
      <c r="B306" s="2015"/>
      <c r="C306" s="1976"/>
      <c r="D306" s="1977"/>
      <c r="E306" s="1168"/>
      <c r="F306" s="1169">
        <v>0</v>
      </c>
      <c r="G306" s="1170">
        <v>0</v>
      </c>
      <c r="H306" s="1171">
        <v>0</v>
      </c>
      <c r="I306" s="1172">
        <v>0</v>
      </c>
      <c r="J306" s="1169">
        <v>0</v>
      </c>
      <c r="K306" s="1170">
        <v>0</v>
      </c>
      <c r="L306" s="1169">
        <v>0</v>
      </c>
      <c r="M306" s="1170">
        <v>0</v>
      </c>
      <c r="N306" s="1173">
        <f t="shared" si="3"/>
        <v>0</v>
      </c>
      <c r="O306" s="1174">
        <f t="shared" si="3"/>
        <v>0</v>
      </c>
    </row>
    <row r="307" spans="1:15" x14ac:dyDescent="0.35">
      <c r="A307" s="8"/>
      <c r="B307" s="2015"/>
      <c r="C307" s="1976"/>
      <c r="D307" s="1977"/>
      <c r="E307" s="1168"/>
      <c r="F307" s="1169">
        <v>0</v>
      </c>
      <c r="G307" s="1170">
        <v>0</v>
      </c>
      <c r="H307" s="1171">
        <v>0</v>
      </c>
      <c r="I307" s="1172">
        <v>0</v>
      </c>
      <c r="J307" s="1169">
        <v>0</v>
      </c>
      <c r="K307" s="1170">
        <v>0</v>
      </c>
      <c r="L307" s="1169">
        <v>0</v>
      </c>
      <c r="M307" s="1170">
        <v>0</v>
      </c>
      <c r="N307" s="1173">
        <f t="shared" si="3"/>
        <v>0</v>
      </c>
      <c r="O307" s="1174">
        <f t="shared" si="3"/>
        <v>0</v>
      </c>
    </row>
    <row r="308" spans="1:15" x14ac:dyDescent="0.35">
      <c r="A308" s="8"/>
      <c r="B308" s="2015"/>
      <c r="C308" s="1976"/>
      <c r="D308" s="1977"/>
      <c r="E308" s="1168"/>
      <c r="F308" s="1169">
        <v>0</v>
      </c>
      <c r="G308" s="1170">
        <v>0</v>
      </c>
      <c r="H308" s="1171">
        <v>0</v>
      </c>
      <c r="I308" s="1172">
        <v>0</v>
      </c>
      <c r="J308" s="1169">
        <v>0</v>
      </c>
      <c r="K308" s="1170">
        <v>0</v>
      </c>
      <c r="L308" s="1169">
        <v>0</v>
      </c>
      <c r="M308" s="1170">
        <v>0</v>
      </c>
      <c r="N308" s="1173">
        <f t="shared" si="3"/>
        <v>0</v>
      </c>
      <c r="O308" s="1174">
        <f t="shared" si="3"/>
        <v>0</v>
      </c>
    </row>
    <row r="309" spans="1:15" x14ac:dyDescent="0.35">
      <c r="A309" s="8"/>
      <c r="B309" s="2015"/>
      <c r="C309" s="1976"/>
      <c r="D309" s="1977"/>
      <c r="E309" s="1168"/>
      <c r="F309" s="1169">
        <v>0</v>
      </c>
      <c r="G309" s="1170">
        <v>0</v>
      </c>
      <c r="H309" s="1171">
        <v>0</v>
      </c>
      <c r="I309" s="1172">
        <v>0</v>
      </c>
      <c r="J309" s="1169">
        <v>0</v>
      </c>
      <c r="K309" s="1170">
        <v>0</v>
      </c>
      <c r="L309" s="1169">
        <v>0</v>
      </c>
      <c r="M309" s="1170">
        <v>0</v>
      </c>
      <c r="N309" s="1173">
        <f t="shared" si="3"/>
        <v>0</v>
      </c>
      <c r="O309" s="1174">
        <f t="shared" si="3"/>
        <v>0</v>
      </c>
    </row>
    <row r="310" spans="1:15" x14ac:dyDescent="0.35">
      <c r="A310" s="8"/>
      <c r="B310" s="2015"/>
      <c r="C310" s="1976"/>
      <c r="D310" s="1977"/>
      <c r="E310" s="1168"/>
      <c r="F310" s="1169">
        <v>0</v>
      </c>
      <c r="G310" s="1170">
        <v>0</v>
      </c>
      <c r="H310" s="1171">
        <v>0</v>
      </c>
      <c r="I310" s="1172">
        <v>0</v>
      </c>
      <c r="J310" s="1169">
        <v>0</v>
      </c>
      <c r="K310" s="1170">
        <v>0</v>
      </c>
      <c r="L310" s="1169">
        <v>0</v>
      </c>
      <c r="M310" s="1170">
        <v>0</v>
      </c>
      <c r="N310" s="1173">
        <f t="shared" si="3"/>
        <v>0</v>
      </c>
      <c r="O310" s="1174">
        <f t="shared" si="3"/>
        <v>0</v>
      </c>
    </row>
    <row r="311" spans="1:15" x14ac:dyDescent="0.35">
      <c r="A311" s="8"/>
      <c r="B311" s="2015"/>
      <c r="C311" s="1976"/>
      <c r="D311" s="1977"/>
      <c r="E311" s="1168"/>
      <c r="F311" s="1169">
        <v>0</v>
      </c>
      <c r="G311" s="1170">
        <v>0</v>
      </c>
      <c r="H311" s="1171">
        <v>0</v>
      </c>
      <c r="I311" s="1172">
        <v>0</v>
      </c>
      <c r="J311" s="1169">
        <v>0</v>
      </c>
      <c r="K311" s="1170">
        <v>0</v>
      </c>
      <c r="L311" s="1169">
        <v>0</v>
      </c>
      <c r="M311" s="1170">
        <v>0</v>
      </c>
      <c r="N311" s="1173">
        <f t="shared" si="3"/>
        <v>0</v>
      </c>
      <c r="O311" s="1174">
        <f t="shared" si="3"/>
        <v>0</v>
      </c>
    </row>
    <row r="312" spans="1:15" x14ac:dyDescent="0.35">
      <c r="A312" s="8"/>
      <c r="B312" s="2015"/>
      <c r="C312" s="1976"/>
      <c r="D312" s="1977"/>
      <c r="E312" s="1168"/>
      <c r="F312" s="1169">
        <v>0</v>
      </c>
      <c r="G312" s="1170">
        <v>0</v>
      </c>
      <c r="H312" s="1171">
        <v>0</v>
      </c>
      <c r="I312" s="1172">
        <v>0</v>
      </c>
      <c r="J312" s="1169">
        <v>0</v>
      </c>
      <c r="K312" s="1170">
        <v>0</v>
      </c>
      <c r="L312" s="1169">
        <v>0</v>
      </c>
      <c r="M312" s="1170">
        <v>0</v>
      </c>
      <c r="N312" s="1173">
        <f t="shared" si="3"/>
        <v>0</v>
      </c>
      <c r="O312" s="1174">
        <f t="shared" si="3"/>
        <v>0</v>
      </c>
    </row>
    <row r="313" spans="1:15" ht="15" thickBot="1" x14ac:dyDescent="0.4">
      <c r="A313" s="8"/>
      <c r="B313" s="2015"/>
      <c r="C313" s="1978"/>
      <c r="D313" s="1979"/>
      <c r="E313" s="1175"/>
      <c r="F313" s="1176">
        <v>0</v>
      </c>
      <c r="G313" s="1177">
        <v>0</v>
      </c>
      <c r="H313" s="1178">
        <v>0</v>
      </c>
      <c r="I313" s="1179">
        <v>0</v>
      </c>
      <c r="J313" s="1176">
        <v>0</v>
      </c>
      <c r="K313" s="1177">
        <v>0</v>
      </c>
      <c r="L313" s="1176">
        <v>0</v>
      </c>
      <c r="M313" s="1177">
        <v>0</v>
      </c>
      <c r="N313" s="1180">
        <f t="shared" si="3"/>
        <v>0</v>
      </c>
      <c r="O313" s="1181">
        <f t="shared" si="3"/>
        <v>0</v>
      </c>
    </row>
    <row r="314" spans="1:15" ht="15" thickBot="1" x14ac:dyDescent="0.4">
      <c r="A314" s="8"/>
      <c r="B314" s="2015"/>
      <c r="C314" s="1182"/>
      <c r="D314" s="1183"/>
      <c r="E314" s="1184" t="s">
        <v>533</v>
      </c>
      <c r="F314" s="1185">
        <f>SUM(F303:F313)</f>
        <v>0</v>
      </c>
      <c r="G314" s="1186">
        <f t="shared" ref="G314:O314" si="4">SUM(G303:G313)</f>
        <v>0</v>
      </c>
      <c r="H314" s="1187">
        <f t="shared" si="4"/>
        <v>0</v>
      </c>
      <c r="I314" s="1188">
        <f t="shared" si="4"/>
        <v>0</v>
      </c>
      <c r="J314" s="1185">
        <f t="shared" si="4"/>
        <v>0</v>
      </c>
      <c r="K314" s="1186">
        <f t="shared" si="4"/>
        <v>0</v>
      </c>
      <c r="L314" s="1185">
        <f t="shared" si="4"/>
        <v>0</v>
      </c>
      <c r="M314" s="1186">
        <f t="shared" si="4"/>
        <v>0</v>
      </c>
      <c r="N314" s="1187">
        <f t="shared" si="4"/>
        <v>0</v>
      </c>
      <c r="O314" s="1189">
        <f t="shared" si="4"/>
        <v>0</v>
      </c>
    </row>
    <row r="315" spans="1:15" s="21" customFormat="1" x14ac:dyDescent="0.35"/>
    <row r="316" spans="1:15" x14ac:dyDescent="0.35">
      <c r="A316" s="8"/>
      <c r="B316" s="2015"/>
    </row>
    <row r="317" spans="1:15" x14ac:dyDescent="0.35">
      <c r="A317" s="11" t="s">
        <v>534</v>
      </c>
      <c r="D317" s="21"/>
    </row>
    <row r="318" spans="1:15" x14ac:dyDescent="0.35">
      <c r="A318" s="11"/>
      <c r="D318" s="21"/>
    </row>
    <row r="319" spans="1:15" x14ac:dyDescent="0.35">
      <c r="A319" s="11"/>
      <c r="B319" s="10" t="s">
        <v>535</v>
      </c>
      <c r="D319" s="1190" t="s">
        <v>435</v>
      </c>
      <c r="E319" s="2230" t="str">
        <f>IF(D319="Yes","Select Fiscal Year End and complete the tables below:",IF(D319="No","Footnote not Required",""))</f>
        <v/>
      </c>
      <c r="F319" s="2230"/>
      <c r="G319" s="2230"/>
    </row>
    <row r="320" spans="1:15" ht="15" thickBot="1" x14ac:dyDescent="0.4">
      <c r="A320" s="11"/>
      <c r="B320" s="1047"/>
    </row>
    <row r="321" spans="1:10" x14ac:dyDescent="0.35">
      <c r="A321" s="11"/>
      <c r="B321" s="10" t="s">
        <v>536</v>
      </c>
      <c r="D321" s="2231" t="str">
        <f>"Fiscal Year End: "&amp;TEXT(N301,"mm/dd/yyyy")</f>
        <v>Fiscal Year End: mm/dd/yyyy</v>
      </c>
      <c r="E321" s="2232"/>
      <c r="F321" s="2232"/>
      <c r="G321" s="2233"/>
    </row>
    <row r="322" spans="1:10" s="1191" customFormat="1" ht="15" thickBot="1" x14ac:dyDescent="0.4">
      <c r="A322" s="20"/>
      <c r="D322" s="2163" t="s">
        <v>537</v>
      </c>
      <c r="E322" s="2164"/>
      <c r="F322" s="2164"/>
      <c r="G322" s="2165"/>
    </row>
    <row r="323" spans="1:10" ht="15" thickBot="1" x14ac:dyDescent="0.4">
      <c r="A323" s="11"/>
      <c r="B323" s="1047"/>
      <c r="D323" s="1678" t="str">
        <f>F301</f>
        <v>mm/dd/yyyy</v>
      </c>
      <c r="E323" s="1679" t="str">
        <f>H301</f>
        <v>mm/dd/yyyy</v>
      </c>
      <c r="F323" s="1679" t="str">
        <f>J301</f>
        <v>mm/dd/yyyy</v>
      </c>
      <c r="G323" s="1680" t="str">
        <f>L301</f>
        <v>mm/dd/yyyy</v>
      </c>
    </row>
    <row r="324" spans="1:10" ht="15" thickBot="1" x14ac:dyDescent="0.4">
      <c r="A324" s="11"/>
      <c r="B324" s="1047"/>
      <c r="C324" s="1192" t="s">
        <v>538</v>
      </c>
      <c r="D324" s="2126">
        <v>0</v>
      </c>
      <c r="E324" s="2127">
        <v>0</v>
      </c>
      <c r="F324" s="2127">
        <v>0</v>
      </c>
      <c r="G324" s="2128">
        <v>0</v>
      </c>
    </row>
    <row r="325" spans="1:10" x14ac:dyDescent="0.35">
      <c r="A325" s="11"/>
      <c r="B325" s="1047"/>
    </row>
    <row r="326" spans="1:10" x14ac:dyDescent="0.35">
      <c r="A326" s="11"/>
      <c r="B326" s="1047"/>
    </row>
    <row r="327" spans="1:10" x14ac:dyDescent="0.35">
      <c r="A327" s="11"/>
      <c r="B327" s="10" t="s">
        <v>539</v>
      </c>
    </row>
    <row r="328" spans="1:10" ht="15" thickBot="1" x14ac:dyDescent="0.4">
      <c r="A328" s="11"/>
    </row>
    <row r="329" spans="1:10" ht="15" thickBot="1" x14ac:dyDescent="0.4">
      <c r="A329" s="11"/>
      <c r="C329" s="2234" t="s">
        <v>540</v>
      </c>
      <c r="D329" s="2235"/>
      <c r="E329" s="2202" t="s">
        <v>537</v>
      </c>
      <c r="F329" s="2217"/>
      <c r="G329" s="2217"/>
      <c r="H329" s="2203"/>
      <c r="I329" s="1917" t="s">
        <v>528</v>
      </c>
    </row>
    <row r="330" spans="1:10" ht="15" thickBot="1" x14ac:dyDescent="0.4">
      <c r="A330" s="11"/>
      <c r="C330" s="2228" t="s">
        <v>541</v>
      </c>
      <c r="D330" s="2229"/>
      <c r="E330" s="1681" t="str">
        <f>F301</f>
        <v>mm/dd/yyyy</v>
      </c>
      <c r="F330" s="1681" t="str">
        <f>H301</f>
        <v>mm/dd/yyyy</v>
      </c>
      <c r="G330" s="1681" t="str">
        <f>J301</f>
        <v>mm/dd/yyyy</v>
      </c>
      <c r="H330" s="1681" t="str">
        <f>L301</f>
        <v>mm/dd/yyyy</v>
      </c>
      <c r="I330" s="1918" t="str">
        <f>N301</f>
        <v>mm/dd/yyyy</v>
      </c>
    </row>
    <row r="331" spans="1:10" x14ac:dyDescent="0.35">
      <c r="A331" s="11"/>
      <c r="C331" s="1193" t="s">
        <v>360</v>
      </c>
      <c r="D331" s="1194" t="s">
        <v>361</v>
      </c>
      <c r="E331" s="2129">
        <v>0</v>
      </c>
      <c r="F331" s="2129">
        <v>0</v>
      </c>
      <c r="G331" s="2129">
        <v>0</v>
      </c>
      <c r="H331" s="2129">
        <v>0</v>
      </c>
      <c r="I331" s="1195">
        <f>SUM(E331:H331)</f>
        <v>0</v>
      </c>
    </row>
    <row r="332" spans="1:10" x14ac:dyDescent="0.35">
      <c r="A332" s="11"/>
      <c r="C332" s="1196" t="s">
        <v>362</v>
      </c>
      <c r="D332" s="1197" t="s">
        <v>542</v>
      </c>
      <c r="E332" s="2130">
        <v>0</v>
      </c>
      <c r="F332" s="2130">
        <v>0</v>
      </c>
      <c r="G332" s="2130">
        <v>0</v>
      </c>
      <c r="H332" s="2130">
        <v>0</v>
      </c>
      <c r="I332" s="1198">
        <f t="shared" ref="I332:I350" si="5">SUM(E332:H332)</f>
        <v>0</v>
      </c>
    </row>
    <row r="333" spans="1:10" x14ac:dyDescent="0.35">
      <c r="C333" s="1196" t="s">
        <v>364</v>
      </c>
      <c r="D333" s="1197" t="s">
        <v>543</v>
      </c>
      <c r="E333" s="2130">
        <v>0</v>
      </c>
      <c r="F333" s="2130">
        <v>0</v>
      </c>
      <c r="G333" s="2130">
        <v>0</v>
      </c>
      <c r="H333" s="2130">
        <v>0</v>
      </c>
      <c r="I333" s="1198">
        <f t="shared" si="5"/>
        <v>0</v>
      </c>
    </row>
    <row r="334" spans="1:10" x14ac:dyDescent="0.35">
      <c r="C334" s="1196" t="s">
        <v>366</v>
      </c>
      <c r="D334" s="1197" t="s">
        <v>367</v>
      </c>
      <c r="E334" s="2130">
        <v>0</v>
      </c>
      <c r="F334" s="2130">
        <v>0</v>
      </c>
      <c r="G334" s="2130">
        <v>0</v>
      </c>
      <c r="H334" s="2130">
        <v>0</v>
      </c>
      <c r="I334" s="1198">
        <f t="shared" si="5"/>
        <v>0</v>
      </c>
      <c r="J334" s="21"/>
    </row>
    <row r="335" spans="1:10" x14ac:dyDescent="0.35">
      <c r="C335" s="1196" t="s">
        <v>368</v>
      </c>
      <c r="D335" s="1197" t="s">
        <v>369</v>
      </c>
      <c r="E335" s="2130">
        <v>0</v>
      </c>
      <c r="F335" s="2130">
        <v>0</v>
      </c>
      <c r="G335" s="2130">
        <v>0</v>
      </c>
      <c r="H335" s="2130">
        <v>0</v>
      </c>
      <c r="I335" s="1198">
        <f t="shared" si="5"/>
        <v>0</v>
      </c>
      <c r="J335" s="21"/>
    </row>
    <row r="336" spans="1:10" ht="15" customHeight="1" x14ac:dyDescent="0.35">
      <c r="C336" s="1196" t="s">
        <v>370</v>
      </c>
      <c r="D336" s="1197" t="s">
        <v>371</v>
      </c>
      <c r="E336" s="2130">
        <v>0</v>
      </c>
      <c r="F336" s="2130">
        <v>0</v>
      </c>
      <c r="G336" s="2130">
        <v>0</v>
      </c>
      <c r="H336" s="2130">
        <v>0</v>
      </c>
      <c r="I336" s="1198">
        <f t="shared" si="5"/>
        <v>0</v>
      </c>
      <c r="J336" s="21"/>
    </row>
    <row r="337" spans="3:10" ht="15" customHeight="1" x14ac:dyDescent="0.35">
      <c r="C337" s="1196" t="s">
        <v>372</v>
      </c>
      <c r="D337" s="1197" t="s">
        <v>373</v>
      </c>
      <c r="E337" s="2130">
        <v>0</v>
      </c>
      <c r="F337" s="2130">
        <v>0</v>
      </c>
      <c r="G337" s="2130">
        <v>0</v>
      </c>
      <c r="H337" s="2130">
        <v>0</v>
      </c>
      <c r="I337" s="1198">
        <f t="shared" si="5"/>
        <v>0</v>
      </c>
      <c r="J337" s="21"/>
    </row>
    <row r="338" spans="3:10" x14ac:dyDescent="0.35">
      <c r="C338" s="1196" t="s">
        <v>374</v>
      </c>
      <c r="D338" s="1197" t="s">
        <v>375</v>
      </c>
      <c r="E338" s="2130">
        <v>0</v>
      </c>
      <c r="F338" s="2130">
        <v>0</v>
      </c>
      <c r="G338" s="2130">
        <v>0</v>
      </c>
      <c r="H338" s="2130">
        <v>0</v>
      </c>
      <c r="I338" s="1198">
        <f t="shared" si="5"/>
        <v>0</v>
      </c>
      <c r="J338" s="21"/>
    </row>
    <row r="339" spans="3:10" x14ac:dyDescent="0.35">
      <c r="C339" s="1196" t="s">
        <v>376</v>
      </c>
      <c r="D339" s="1197" t="s">
        <v>377</v>
      </c>
      <c r="E339" s="2130">
        <v>0</v>
      </c>
      <c r="F339" s="2130">
        <v>0</v>
      </c>
      <c r="G339" s="2130">
        <v>0</v>
      </c>
      <c r="H339" s="2130">
        <v>0</v>
      </c>
      <c r="I339" s="1198">
        <f t="shared" si="5"/>
        <v>0</v>
      </c>
      <c r="J339" s="21"/>
    </row>
    <row r="340" spans="3:10" x14ac:dyDescent="0.35">
      <c r="C340" s="1196" t="s">
        <v>378</v>
      </c>
      <c r="D340" s="1197" t="s">
        <v>379</v>
      </c>
      <c r="E340" s="2130">
        <v>0</v>
      </c>
      <c r="F340" s="2130">
        <v>0</v>
      </c>
      <c r="G340" s="2130">
        <v>0</v>
      </c>
      <c r="H340" s="2130">
        <v>0</v>
      </c>
      <c r="I340" s="1198">
        <f t="shared" si="5"/>
        <v>0</v>
      </c>
      <c r="J340" s="21"/>
    </row>
    <row r="341" spans="3:10" x14ac:dyDescent="0.35">
      <c r="C341" s="1196" t="s">
        <v>380</v>
      </c>
      <c r="D341" s="1197" t="s">
        <v>381</v>
      </c>
      <c r="E341" s="2130">
        <v>0</v>
      </c>
      <c r="F341" s="2130">
        <v>0</v>
      </c>
      <c r="G341" s="2130">
        <v>0</v>
      </c>
      <c r="H341" s="2130">
        <v>0</v>
      </c>
      <c r="I341" s="1198">
        <f t="shared" si="5"/>
        <v>0</v>
      </c>
      <c r="J341" s="21"/>
    </row>
    <row r="342" spans="3:10" x14ac:dyDescent="0.35">
      <c r="C342" s="1196" t="s">
        <v>382</v>
      </c>
      <c r="D342" s="1197" t="s">
        <v>544</v>
      </c>
      <c r="E342" s="2130">
        <v>0</v>
      </c>
      <c r="F342" s="2130">
        <v>0</v>
      </c>
      <c r="G342" s="2130">
        <v>0</v>
      </c>
      <c r="H342" s="2130">
        <v>0</v>
      </c>
      <c r="I342" s="1198">
        <f t="shared" si="5"/>
        <v>0</v>
      </c>
      <c r="J342" s="21"/>
    </row>
    <row r="343" spans="3:10" x14ac:dyDescent="0.35">
      <c r="C343" s="1196" t="s">
        <v>384</v>
      </c>
      <c r="D343" s="1197" t="s">
        <v>385</v>
      </c>
      <c r="E343" s="2130">
        <v>0</v>
      </c>
      <c r="F343" s="2130">
        <v>0</v>
      </c>
      <c r="G343" s="2130">
        <v>0</v>
      </c>
      <c r="H343" s="2130">
        <v>0</v>
      </c>
      <c r="I343" s="1198">
        <f t="shared" si="5"/>
        <v>0</v>
      </c>
      <c r="J343" s="21"/>
    </row>
    <row r="344" spans="3:10" x14ac:dyDescent="0.35">
      <c r="C344" s="1196" t="s">
        <v>386</v>
      </c>
      <c r="D344" s="1197" t="s">
        <v>387</v>
      </c>
      <c r="E344" s="2130">
        <v>0</v>
      </c>
      <c r="F344" s="2130">
        <v>0</v>
      </c>
      <c r="G344" s="2130">
        <v>0</v>
      </c>
      <c r="H344" s="2130">
        <v>0</v>
      </c>
      <c r="I344" s="1198">
        <f t="shared" si="5"/>
        <v>0</v>
      </c>
      <c r="J344" s="21"/>
    </row>
    <row r="345" spans="3:10" x14ac:dyDescent="0.35">
      <c r="C345" s="1196" t="s">
        <v>388</v>
      </c>
      <c r="D345" s="1197" t="s">
        <v>389</v>
      </c>
      <c r="E345" s="2130">
        <v>0</v>
      </c>
      <c r="F345" s="2130">
        <v>0</v>
      </c>
      <c r="G345" s="2130">
        <v>0</v>
      </c>
      <c r="H345" s="2130">
        <v>0</v>
      </c>
      <c r="I345" s="1198">
        <f t="shared" si="5"/>
        <v>0</v>
      </c>
      <c r="J345" s="21"/>
    </row>
    <row r="346" spans="3:10" x14ac:dyDescent="0.35">
      <c r="C346" s="1196" t="s">
        <v>390</v>
      </c>
      <c r="D346" s="1197" t="s">
        <v>545</v>
      </c>
      <c r="E346" s="2130">
        <v>0</v>
      </c>
      <c r="F346" s="2130">
        <v>0</v>
      </c>
      <c r="G346" s="2130">
        <v>0</v>
      </c>
      <c r="H346" s="2130">
        <v>0</v>
      </c>
      <c r="I346" s="1198">
        <f t="shared" si="5"/>
        <v>0</v>
      </c>
      <c r="J346" s="21"/>
    </row>
    <row r="347" spans="3:10" x14ac:dyDescent="0.35">
      <c r="C347" s="1196" t="s">
        <v>392</v>
      </c>
      <c r="D347" s="1197" t="s">
        <v>546</v>
      </c>
      <c r="E347" s="2130">
        <v>0</v>
      </c>
      <c r="F347" s="2130">
        <v>0</v>
      </c>
      <c r="G347" s="2130">
        <v>0</v>
      </c>
      <c r="H347" s="2130">
        <v>0</v>
      </c>
      <c r="I347" s="1198">
        <f t="shared" si="5"/>
        <v>0</v>
      </c>
      <c r="J347" s="21"/>
    </row>
    <row r="348" spans="3:10" x14ac:dyDescent="0.35">
      <c r="C348" s="1199" t="s">
        <v>394</v>
      </c>
      <c r="D348" s="1200" t="s">
        <v>395</v>
      </c>
      <c r="E348" s="2130">
        <v>0</v>
      </c>
      <c r="F348" s="2130">
        <v>0</v>
      </c>
      <c r="G348" s="2130">
        <v>0</v>
      </c>
      <c r="H348" s="2130">
        <v>0</v>
      </c>
      <c r="I348" s="1198">
        <f t="shared" ref="I348" si="6">SUM(E348:H348)</f>
        <v>0</v>
      </c>
      <c r="J348" s="21"/>
    </row>
    <row r="349" spans="3:10" x14ac:dyDescent="0.35">
      <c r="C349" s="1196" t="s">
        <v>396</v>
      </c>
      <c r="D349" s="1197" t="s">
        <v>397</v>
      </c>
      <c r="E349" s="2130">
        <v>0</v>
      </c>
      <c r="F349" s="2130">
        <v>0</v>
      </c>
      <c r="G349" s="2130">
        <v>0</v>
      </c>
      <c r="H349" s="2130">
        <v>0</v>
      </c>
      <c r="I349" s="1198">
        <f t="shared" si="5"/>
        <v>0</v>
      </c>
      <c r="J349" s="21"/>
    </row>
    <row r="350" spans="3:10" ht="15" thickBot="1" x14ac:dyDescent="0.4">
      <c r="C350" s="1201" t="s">
        <v>398</v>
      </c>
      <c r="D350" s="1202" t="s">
        <v>399</v>
      </c>
      <c r="E350" s="2131">
        <v>0</v>
      </c>
      <c r="F350" s="2131">
        <v>0</v>
      </c>
      <c r="G350" s="2131">
        <v>0</v>
      </c>
      <c r="H350" s="2131">
        <v>0</v>
      </c>
      <c r="I350" s="1203">
        <f t="shared" si="5"/>
        <v>0</v>
      </c>
      <c r="J350" s="21"/>
    </row>
    <row r="351" spans="3:10" ht="15" thickBot="1" x14ac:dyDescent="0.4">
      <c r="C351" s="1204"/>
      <c r="D351" s="1205" t="s">
        <v>470</v>
      </c>
      <c r="E351" s="1206">
        <f>SUM(E331:E350)</f>
        <v>0</v>
      </c>
      <c r="F351" s="1206">
        <f>SUM(F331:F350)</f>
        <v>0</v>
      </c>
      <c r="G351" s="1206">
        <f>SUM(G331:G350)</f>
        <v>0</v>
      </c>
      <c r="H351" s="1206">
        <f>SUM(H331:H350)</f>
        <v>0</v>
      </c>
      <c r="I351" s="1207">
        <f>SUM(I331:I350)</f>
        <v>0</v>
      </c>
      <c r="J351" s="21"/>
    </row>
    <row r="352" spans="3:10" s="21" customFormat="1" x14ac:dyDescent="0.35"/>
    <row r="353" spans="1:10" x14ac:dyDescent="0.35">
      <c r="B353" s="21"/>
      <c r="C353" s="21"/>
      <c r="D353" s="21"/>
      <c r="E353" s="21"/>
      <c r="F353" s="21"/>
      <c r="G353" s="21"/>
      <c r="H353" s="21"/>
      <c r="I353" s="21"/>
      <c r="J353" s="21"/>
    </row>
    <row r="354" spans="1:10" x14ac:dyDescent="0.35">
      <c r="A354" s="8" t="s">
        <v>547</v>
      </c>
    </row>
    <row r="355" spans="1:10" x14ac:dyDescent="0.35">
      <c r="A355" s="8"/>
    </row>
    <row r="356" spans="1:10" x14ac:dyDescent="0.35">
      <c r="A356" s="8"/>
      <c r="B356" s="10" t="s">
        <v>548</v>
      </c>
    </row>
    <row r="357" spans="1:10" ht="15" thickBot="1" x14ac:dyDescent="0.4"/>
    <row r="358" spans="1:10" ht="15" thickBot="1" x14ac:dyDescent="0.4">
      <c r="C358" s="1488" t="str">
        <f>"Quarter Ended: "&amp;TEXT('Instruction &amp; Audit Report B '!C21,"mm/dd/yyy")</f>
        <v>Quarter Ended: mm/dd/yyyy</v>
      </c>
    </row>
    <row r="359" spans="1:10" ht="15" thickBot="1" x14ac:dyDescent="0.4">
      <c r="C359" s="1682" t="s">
        <v>549</v>
      </c>
      <c r="D359" s="1682" t="s">
        <v>457</v>
      </c>
    </row>
    <row r="360" spans="1:10" x14ac:dyDescent="0.35">
      <c r="C360" s="1208"/>
      <c r="D360" s="1209">
        <v>0</v>
      </c>
    </row>
    <row r="361" spans="1:10" x14ac:dyDescent="0.35">
      <c r="C361" s="1208"/>
      <c r="D361" s="1209">
        <v>0</v>
      </c>
    </row>
    <row r="362" spans="1:10" x14ac:dyDescent="0.35">
      <c r="C362" s="1208"/>
      <c r="D362" s="1209">
        <v>0</v>
      </c>
    </row>
    <row r="363" spans="1:10" x14ac:dyDescent="0.35">
      <c r="C363" s="1208"/>
      <c r="D363" s="1209">
        <v>0</v>
      </c>
    </row>
    <row r="364" spans="1:10" x14ac:dyDescent="0.35">
      <c r="C364" s="1208"/>
      <c r="D364" s="1209">
        <v>0</v>
      </c>
    </row>
    <row r="365" spans="1:10" x14ac:dyDescent="0.35">
      <c r="C365" s="1210"/>
      <c r="D365" s="1211">
        <v>0</v>
      </c>
    </row>
    <row r="366" spans="1:10" x14ac:dyDescent="0.35">
      <c r="C366" s="1208"/>
      <c r="D366" s="1209">
        <v>0</v>
      </c>
    </row>
    <row r="367" spans="1:10" ht="15" thickBot="1" x14ac:dyDescent="0.4">
      <c r="C367" s="1212"/>
      <c r="D367" s="1213">
        <v>0</v>
      </c>
    </row>
    <row r="368" spans="1:10" ht="15" thickBot="1" x14ac:dyDescent="0.4">
      <c r="C368" s="1214" t="s">
        <v>550</v>
      </c>
      <c r="D368" s="1215">
        <f>SUM(D360:D367)</f>
        <v>0</v>
      </c>
    </row>
    <row r="371" spans="1:10" x14ac:dyDescent="0.35">
      <c r="A371" s="8" t="s">
        <v>551</v>
      </c>
    </row>
    <row r="373" spans="1:10" x14ac:dyDescent="0.35">
      <c r="A373" s="1146"/>
      <c r="B373" s="1146" t="s">
        <v>552</v>
      </c>
      <c r="C373" s="1146"/>
      <c r="D373" s="1146"/>
      <c r="E373" s="1146"/>
      <c r="F373" s="1146"/>
      <c r="G373" s="1146"/>
      <c r="H373" s="1146"/>
      <c r="I373" s="1146"/>
      <c r="J373" s="1146"/>
    </row>
    <row r="374" spans="1:10" ht="15" thickBot="1" x14ac:dyDescent="0.4">
      <c r="A374" s="1146"/>
      <c r="B374" s="1146"/>
      <c r="C374" s="1146"/>
      <c r="D374" s="1146"/>
      <c r="E374" s="1146"/>
      <c r="F374" s="1146"/>
      <c r="G374" s="1146"/>
      <c r="H374" s="1146"/>
      <c r="I374" s="1146"/>
      <c r="J374" s="1146"/>
    </row>
    <row r="375" spans="1:10" ht="15" thickBot="1" x14ac:dyDescent="0.4">
      <c r="A375" s="1146"/>
      <c r="B375" s="1146"/>
      <c r="C375" s="2161" t="s">
        <v>553</v>
      </c>
      <c r="D375" s="2162"/>
      <c r="E375" s="2162"/>
      <c r="F375" s="2162"/>
      <c r="G375" s="2162"/>
      <c r="H375" s="2162"/>
      <c r="I375" s="2162"/>
      <c r="J375" s="1146"/>
    </row>
    <row r="376" spans="1:10" x14ac:dyDescent="0.35">
      <c r="A376" s="1146"/>
      <c r="B376" s="1146"/>
      <c r="C376" s="2158"/>
      <c r="D376" s="2159"/>
      <c r="E376" s="2159"/>
      <c r="F376" s="2159"/>
      <c r="G376" s="2159"/>
      <c r="H376" s="2159"/>
      <c r="I376" s="2160"/>
      <c r="J376" s="1146"/>
    </row>
    <row r="377" spans="1:10" x14ac:dyDescent="0.35">
      <c r="A377" s="1146"/>
      <c r="B377" s="1146"/>
      <c r="C377" s="2155"/>
      <c r="D377" s="2156"/>
      <c r="E377" s="2156"/>
      <c r="F377" s="2156"/>
      <c r="G377" s="2156"/>
      <c r="H377" s="2156"/>
      <c r="I377" s="2157"/>
      <c r="J377" s="1146"/>
    </row>
    <row r="378" spans="1:10" x14ac:dyDescent="0.35">
      <c r="A378" s="1146"/>
      <c r="B378" s="1146"/>
      <c r="C378" s="2171"/>
      <c r="D378" s="2172"/>
      <c r="E378" s="2172"/>
      <c r="F378" s="2172"/>
      <c r="G378" s="2172"/>
      <c r="H378" s="2172"/>
      <c r="I378" s="2173"/>
      <c r="J378" s="1146"/>
    </row>
    <row r="379" spans="1:10" x14ac:dyDescent="0.35">
      <c r="A379" s="1146"/>
      <c r="B379" s="1146"/>
      <c r="C379" s="2155"/>
      <c r="D379" s="2156"/>
      <c r="E379" s="2156"/>
      <c r="F379" s="2156"/>
      <c r="G379" s="2156"/>
      <c r="H379" s="2156"/>
      <c r="I379" s="2157"/>
      <c r="J379" s="1146"/>
    </row>
    <row r="380" spans="1:10" x14ac:dyDescent="0.35">
      <c r="A380" s="1146"/>
      <c r="B380" s="1146"/>
      <c r="C380" s="2155"/>
      <c r="D380" s="2156"/>
      <c r="E380" s="2156"/>
      <c r="F380" s="2156"/>
      <c r="G380" s="2156"/>
      <c r="H380" s="2156"/>
      <c r="I380" s="2157"/>
      <c r="J380" s="1146"/>
    </row>
    <row r="381" spans="1:10" x14ac:dyDescent="0.35">
      <c r="A381" s="1146"/>
      <c r="B381" s="1146"/>
      <c r="C381" s="2155"/>
      <c r="D381" s="2156"/>
      <c r="E381" s="2156"/>
      <c r="F381" s="2156"/>
      <c r="G381" s="2156"/>
      <c r="H381" s="2156"/>
      <c r="I381" s="2157"/>
      <c r="J381" s="1146"/>
    </row>
    <row r="382" spans="1:10" x14ac:dyDescent="0.35">
      <c r="A382" s="1146"/>
      <c r="B382" s="1146"/>
      <c r="C382" s="2155"/>
      <c r="D382" s="2156"/>
      <c r="E382" s="2156"/>
      <c r="F382" s="2156"/>
      <c r="G382" s="2156"/>
      <c r="H382" s="2156"/>
      <c r="I382" s="2157"/>
      <c r="J382" s="1146"/>
    </row>
    <row r="383" spans="1:10" x14ac:dyDescent="0.35">
      <c r="A383" s="1146"/>
      <c r="B383" s="1146"/>
      <c r="C383" s="2155"/>
      <c r="D383" s="2156"/>
      <c r="E383" s="2156"/>
      <c r="F383" s="2156"/>
      <c r="G383" s="2156"/>
      <c r="H383" s="2156"/>
      <c r="I383" s="2157"/>
      <c r="J383" s="1146"/>
    </row>
    <row r="384" spans="1:10" x14ac:dyDescent="0.35">
      <c r="C384" s="2155"/>
      <c r="D384" s="2156"/>
      <c r="E384" s="2156"/>
      <c r="F384" s="2156"/>
      <c r="G384" s="2156"/>
      <c r="H384" s="2156"/>
      <c r="I384" s="2157"/>
    </row>
    <row r="385" spans="3:9" x14ac:dyDescent="0.35">
      <c r="C385" s="2155"/>
      <c r="D385" s="2156"/>
      <c r="E385" s="2156"/>
      <c r="F385" s="2156"/>
      <c r="G385" s="2156"/>
      <c r="H385" s="2156"/>
      <c r="I385" s="2157"/>
    </row>
    <row r="386" spans="3:9" x14ac:dyDescent="0.35">
      <c r="C386" s="2155"/>
      <c r="D386" s="2156"/>
      <c r="E386" s="2156"/>
      <c r="F386" s="2156"/>
      <c r="G386" s="2156"/>
      <c r="H386" s="2156"/>
      <c r="I386" s="2157"/>
    </row>
    <row r="387" spans="3:9" ht="15" thickBot="1" x14ac:dyDescent="0.4">
      <c r="C387" s="2168"/>
      <c r="D387" s="2169"/>
      <c r="E387" s="2169"/>
      <c r="F387" s="2169"/>
      <c r="G387" s="2169"/>
      <c r="H387" s="2169"/>
      <c r="I387" s="2170"/>
    </row>
  </sheetData>
  <mergeCells count="87">
    <mergeCell ref="C294:L294"/>
    <mergeCell ref="E262:K262"/>
    <mergeCell ref="E263:K263"/>
    <mergeCell ref="E264:K264"/>
    <mergeCell ref="E265:K265"/>
    <mergeCell ref="E266:K266"/>
    <mergeCell ref="E267:K267"/>
    <mergeCell ref="E268:K268"/>
    <mergeCell ref="E269:K269"/>
    <mergeCell ref="E270:K270"/>
    <mergeCell ref="E271:K271"/>
    <mergeCell ref="E272:K272"/>
    <mergeCell ref="A2:B2"/>
    <mergeCell ref="A3:B3"/>
    <mergeCell ref="F54:I54"/>
    <mergeCell ref="C205:E205"/>
    <mergeCell ref="D183:L183"/>
    <mergeCell ref="C131:L131"/>
    <mergeCell ref="D144:L144"/>
    <mergeCell ref="D178:L178"/>
    <mergeCell ref="D174:L174"/>
    <mergeCell ref="D168:L168"/>
    <mergeCell ref="D164:L164"/>
    <mergeCell ref="D158:L158"/>
    <mergeCell ref="D154:L154"/>
    <mergeCell ref="D148:L148"/>
    <mergeCell ref="G102:L102"/>
    <mergeCell ref="C23:L23"/>
    <mergeCell ref="C82:D82"/>
    <mergeCell ref="C76:F76"/>
    <mergeCell ref="G92:L92"/>
    <mergeCell ref="G94:L94"/>
    <mergeCell ref="C208:L208"/>
    <mergeCell ref="G95:L95"/>
    <mergeCell ref="G96:L96"/>
    <mergeCell ref="G105:L105"/>
    <mergeCell ref="G106:L106"/>
    <mergeCell ref="G107:L107"/>
    <mergeCell ref="G101:L101"/>
    <mergeCell ref="G98:L98"/>
    <mergeCell ref="G99:L99"/>
    <mergeCell ref="G100:L100"/>
    <mergeCell ref="G97:L97"/>
    <mergeCell ref="G103:L103"/>
    <mergeCell ref="C34:L34"/>
    <mergeCell ref="C42:L42"/>
    <mergeCell ref="D59:L59"/>
    <mergeCell ref="C68:L68"/>
    <mergeCell ref="D54:E54"/>
    <mergeCell ref="N300:O300"/>
    <mergeCell ref="F301:G301"/>
    <mergeCell ref="H301:I301"/>
    <mergeCell ref="J301:K301"/>
    <mergeCell ref="L301:M301"/>
    <mergeCell ref="N301:O301"/>
    <mergeCell ref="E171:F171"/>
    <mergeCell ref="E141:F141"/>
    <mergeCell ref="E151:F151"/>
    <mergeCell ref="E161:F161"/>
    <mergeCell ref="G108:L108"/>
    <mergeCell ref="G109:L109"/>
    <mergeCell ref="G110:L110"/>
    <mergeCell ref="G111:L111"/>
    <mergeCell ref="G115:L115"/>
    <mergeCell ref="G112:L112"/>
    <mergeCell ref="G113:L113"/>
    <mergeCell ref="G114:L114"/>
    <mergeCell ref="C378:I378"/>
    <mergeCell ref="C379:I379"/>
    <mergeCell ref="C380:I380"/>
    <mergeCell ref="C381:I381"/>
    <mergeCell ref="C382:I382"/>
    <mergeCell ref="C383:I383"/>
    <mergeCell ref="C384:I384"/>
    <mergeCell ref="C385:I385"/>
    <mergeCell ref="C386:I386"/>
    <mergeCell ref="C387:I387"/>
    <mergeCell ref="C377:I377"/>
    <mergeCell ref="C376:I376"/>
    <mergeCell ref="C375:I375"/>
    <mergeCell ref="D322:G322"/>
    <mergeCell ref="C302:D302"/>
    <mergeCell ref="C330:D330"/>
    <mergeCell ref="E319:G319"/>
    <mergeCell ref="D321:G321"/>
    <mergeCell ref="C329:D329"/>
    <mergeCell ref="E329:H329"/>
  </mergeCells>
  <conditionalFormatting sqref="C23">
    <cfRule type="expression" priority="102" stopIfTrue="1">
      <formula>NOT(ISBLANK($C$23))</formula>
    </cfRule>
    <cfRule type="expression" dxfId="160" priority="103">
      <formula>$G$20="No"</formula>
    </cfRule>
    <cfRule type="expression" dxfId="159" priority="104">
      <formula>$G$20="Yes"</formula>
    </cfRule>
  </conditionalFormatting>
  <conditionalFormatting sqref="C34:C35">
    <cfRule type="expression" priority="155" stopIfTrue="1">
      <formula>NOT(ISBLANK($C$34))</formula>
    </cfRule>
    <cfRule type="expression" dxfId="158" priority="156">
      <formula>$F$31="No"</formula>
    </cfRule>
    <cfRule type="expression" dxfId="157" priority="157">
      <formula>$F$31="Yes"</formula>
    </cfRule>
  </conditionalFormatting>
  <conditionalFormatting sqref="C42">
    <cfRule type="expression" dxfId="156" priority="160">
      <formula>$E$39="Yes"</formula>
    </cfRule>
  </conditionalFormatting>
  <conditionalFormatting sqref="C42:C43">
    <cfRule type="expression" priority="158" stopIfTrue="1">
      <formula>NOT(ISBLANK($C$42))</formula>
    </cfRule>
    <cfRule type="expression" dxfId="155" priority="159">
      <formula>$E$39="No"</formula>
    </cfRule>
  </conditionalFormatting>
  <conditionalFormatting sqref="C68">
    <cfRule type="expression" priority="161" stopIfTrue="1">
      <formula>NOT(ISBLANK($C$68))</formula>
    </cfRule>
    <cfRule type="expression" dxfId="154" priority="162">
      <formula>$E$64="No"</formula>
    </cfRule>
    <cfRule type="expression" dxfId="153" priority="163">
      <formula>$E$64="Yes"</formula>
    </cfRule>
  </conditionalFormatting>
  <conditionalFormatting sqref="C217">
    <cfRule type="expression" priority="398" stopIfTrue="1">
      <formula>OR($D$217&lt;&gt;0,$E$217&lt;&gt;0)</formula>
    </cfRule>
    <cfRule type="expression" dxfId="152" priority="399">
      <formula>$F$213="No"</formula>
    </cfRule>
    <cfRule type="expression" dxfId="151" priority="400">
      <formula>$F$213="Yes"</formula>
    </cfRule>
  </conditionalFormatting>
  <conditionalFormatting sqref="C59:D59">
    <cfRule type="expression" priority="131" stopIfTrue="1">
      <formula>NOT(ISBLANK($D$59))</formula>
    </cfRule>
    <cfRule type="expression" dxfId="150" priority="132">
      <formula>AND($I$56&lt;=10%,$I$56&gt;=-10%)</formula>
    </cfRule>
    <cfRule type="expression" dxfId="149" priority="133">
      <formula>OR($I$56&gt;10%,$I$56&lt;-10%)</formula>
    </cfRule>
  </conditionalFormatting>
  <conditionalFormatting sqref="C263:E272">
    <cfRule type="expression" priority="1" stopIfTrue="1">
      <formula>OR($C$343&lt;&gt;0,$C$343&lt;&gt;0)</formula>
    </cfRule>
    <cfRule type="expression" dxfId="148" priority="2">
      <formula>$D$329="No"</formula>
    </cfRule>
    <cfRule type="expression" dxfId="147" priority="3">
      <formula>$D$329="Yes"</formula>
    </cfRule>
  </conditionalFormatting>
  <conditionalFormatting sqref="C282:E290">
    <cfRule type="expression" priority="12" stopIfTrue="1">
      <formula>OR($D$291&gt;0,$E$291&gt;0)</formula>
    </cfRule>
    <cfRule type="expression" dxfId="146" priority="13">
      <formula>$F$278="No"</formula>
    </cfRule>
    <cfRule type="expression" dxfId="145" priority="14">
      <formula>$F$278="Yes"</formula>
    </cfRule>
  </conditionalFormatting>
  <conditionalFormatting sqref="C78:F81">
    <cfRule type="expression" priority="702" stopIfTrue="1">
      <formula>$E$82&lt;&gt;0</formula>
    </cfRule>
    <cfRule type="expression" dxfId="144" priority="703">
      <formula>$G$73="No"</formula>
    </cfRule>
    <cfRule type="expression" dxfId="143" priority="704">
      <formula>$G$73="Yes"</formula>
    </cfRule>
  </conditionalFormatting>
  <conditionalFormatting sqref="C196:G204">
    <cfRule type="expression" dxfId="142" priority="19">
      <formula>$F$192="No"</formula>
    </cfRule>
    <cfRule type="expression" dxfId="141" priority="20">
      <formula>$F$192="Yes"</formula>
    </cfRule>
  </conditionalFormatting>
  <conditionalFormatting sqref="C196:H204">
    <cfRule type="expression" priority="18" stopIfTrue="1">
      <formula>$H$205&lt;&gt;0</formula>
    </cfRule>
  </conditionalFormatting>
  <conditionalFormatting sqref="D52">
    <cfRule type="containsText" dxfId="140" priority="5" operator="containsText" text="Manual Entry">
      <formula>NOT(ISERROR(SEARCH("Manual Entry",D52)))</formula>
    </cfRule>
  </conditionalFormatting>
  <conditionalFormatting sqref="D56">
    <cfRule type="containsText" dxfId="139" priority="4" operator="containsText" text="Manual Entry">
      <formula>NOT(ISERROR(SEARCH("Manual Entry",D56)))</formula>
    </cfRule>
  </conditionalFormatting>
  <conditionalFormatting sqref="D144">
    <cfRule type="expression" priority="128" stopIfTrue="1">
      <formula>NOT(ISBLANK($D$144))</formula>
    </cfRule>
    <cfRule type="expression" dxfId="138" priority="129">
      <formula>SEARCH("Out of Compliance",$E$141)</formula>
    </cfRule>
    <cfRule type="expression" dxfId="137" priority="134">
      <formula>SEARCH("In compliance",$E$141)</formula>
    </cfRule>
  </conditionalFormatting>
  <conditionalFormatting sqref="D148">
    <cfRule type="expression" priority="125" stopIfTrue="1">
      <formula>NOT(ISBLANK($D$148))</formula>
    </cfRule>
    <cfRule type="expression" dxfId="136" priority="126">
      <formula>SEARCH("Out of Compliance",$E$141)</formula>
    </cfRule>
    <cfRule type="expression" dxfId="135" priority="127">
      <formula>SEARCH("In compliance",$E$141)</formula>
    </cfRule>
  </conditionalFormatting>
  <conditionalFormatting sqref="D151">
    <cfRule type="expression" dxfId="134" priority="8">
      <formula>SEARCH("DDD",$D$151)</formula>
    </cfRule>
  </conditionalFormatting>
  <conditionalFormatting sqref="D154">
    <cfRule type="expression" priority="122" stopIfTrue="1">
      <formula>NOT(ISBLANK($D$154))</formula>
    </cfRule>
    <cfRule type="expression" dxfId="133" priority="123">
      <formula>SEARCH("Out of Compliance",$E$151)</formula>
    </cfRule>
    <cfRule type="expression" dxfId="132" priority="124">
      <formula>SEARCH("In compliance",$E$151)</formula>
    </cfRule>
  </conditionalFormatting>
  <conditionalFormatting sqref="D158">
    <cfRule type="expression" priority="119" stopIfTrue="1">
      <formula>NOT(ISBLANK($D$158))</formula>
    </cfRule>
    <cfRule type="expression" dxfId="131" priority="120">
      <formula>SEARCH("Out of Compliance",$E$151)</formula>
    </cfRule>
    <cfRule type="expression" dxfId="130" priority="121">
      <formula>SEARCH("In compliance",$E$151)</formula>
    </cfRule>
  </conditionalFormatting>
  <conditionalFormatting sqref="D164">
    <cfRule type="expression" priority="116" stopIfTrue="1">
      <formula>NOT(ISBLANK($D$164))</formula>
    </cfRule>
    <cfRule type="expression" dxfId="129" priority="117">
      <formula>SEARCH("Out of Compliance",$E$161)</formula>
    </cfRule>
    <cfRule type="expression" dxfId="128" priority="118">
      <formula>SEARCH("In compliance",$E$161)</formula>
    </cfRule>
  </conditionalFormatting>
  <conditionalFormatting sqref="D168">
    <cfRule type="expression" priority="113" stopIfTrue="1">
      <formula>NOT(ISBLANK($D$168))</formula>
    </cfRule>
    <cfRule type="expression" dxfId="127" priority="114">
      <formula>SEARCH("Out of Compliance",$E$161)</formula>
    </cfRule>
    <cfRule type="expression" dxfId="126" priority="115">
      <formula>SEARCH("In compliance",$E$161)</formula>
    </cfRule>
  </conditionalFormatting>
  <conditionalFormatting sqref="D174">
    <cfRule type="expression" priority="110" stopIfTrue="1">
      <formula>NOT(ISBLANK($D$174))</formula>
    </cfRule>
    <cfRule type="expression" dxfId="125" priority="111">
      <formula>SEARCH("Out of Compliance",$E$171)</formula>
    </cfRule>
    <cfRule type="expression" dxfId="124" priority="112">
      <formula>SEARCH("In compliance",$E$171)</formula>
    </cfRule>
  </conditionalFormatting>
  <conditionalFormatting sqref="D178">
    <cfRule type="expression" priority="107" stopIfTrue="1">
      <formula>NOT(ISBLANK($D$178))</formula>
    </cfRule>
    <cfRule type="expression" dxfId="123" priority="108">
      <formula>SEARCH("Out of Compliance",$E$171)</formula>
    </cfRule>
    <cfRule type="expression" dxfId="122" priority="109">
      <formula>SEARCH("In compliance",$E$171)</formula>
    </cfRule>
  </conditionalFormatting>
  <conditionalFormatting sqref="D183">
    <cfRule type="expression" priority="105" stopIfTrue="1">
      <formula>NOT(ISBLANK($D$183))</formula>
    </cfRule>
    <cfRule type="expression" dxfId="121" priority="106">
      <formula>$D$180&lt;&gt;0</formula>
    </cfRule>
  </conditionalFormatting>
  <conditionalFormatting sqref="D225:G230">
    <cfRule type="expression" priority="347" stopIfTrue="1">
      <formula>$G$231&lt;&gt;0</formula>
    </cfRule>
    <cfRule type="expression" dxfId="120" priority="348">
      <formula>$E$220="No"</formula>
    </cfRule>
    <cfRule type="expression" dxfId="119" priority="349">
      <formula>$E$220="Yes"</formula>
    </cfRule>
  </conditionalFormatting>
  <conditionalFormatting sqref="D238:G243">
    <cfRule type="expression" priority="350" stopIfTrue="1">
      <formula>$G$244&lt;&gt;0</formula>
    </cfRule>
    <cfRule type="expression" dxfId="118" priority="351">
      <formula>$E$233="No"</formula>
    </cfRule>
    <cfRule type="expression" dxfId="117" priority="352">
      <formula>$E$233="Yes"</formula>
    </cfRule>
  </conditionalFormatting>
  <conditionalFormatting sqref="D249:G254">
    <cfRule type="expression" priority="37" stopIfTrue="1">
      <formula>$G$255&lt;&gt;0</formula>
    </cfRule>
    <cfRule type="expression" dxfId="116" priority="38">
      <formula>OR($D$247="None",$E$233="No")</formula>
    </cfRule>
    <cfRule type="expression" dxfId="115" priority="39">
      <formula>$E$233="Yes"</formula>
    </cfRule>
  </conditionalFormatting>
  <conditionalFormatting sqref="D324:G324">
    <cfRule type="expression" dxfId="114" priority="31">
      <formula>$D$319="No"</formula>
    </cfRule>
    <cfRule type="expression" dxfId="113" priority="403" stopIfTrue="1">
      <formula>AND($D$324&lt;&gt;0,$E$324&lt;&gt;0,$F$324&lt;&gt;0,$G$324&lt;&gt;0)</formula>
    </cfRule>
    <cfRule type="expression" dxfId="112" priority="404">
      <formula>$D$319="Yes"</formula>
    </cfRule>
  </conditionalFormatting>
  <conditionalFormatting sqref="D154:L154">
    <cfRule type="expression" dxfId="111" priority="7">
      <formula>SEARCH("DDD",$D$151)</formula>
    </cfRule>
  </conditionalFormatting>
  <conditionalFormatting sqref="D158:L158">
    <cfRule type="expression" dxfId="110" priority="6">
      <formula>SEARCH("DDD",$D$151)</formula>
    </cfRule>
  </conditionalFormatting>
  <conditionalFormatting sqref="E141 G141">
    <cfRule type="containsText" dxfId="109" priority="101" operator="containsText" text="Out of Compliance">
      <formula>NOT(ISERROR(SEARCH("Out of Compliance",E141)))</formula>
    </cfRule>
  </conditionalFormatting>
  <conditionalFormatting sqref="E151">
    <cfRule type="containsText" dxfId="108" priority="99" operator="containsText" text="Out of Compliance">
      <formula>NOT(ISERROR(SEARCH("Out of Compliance",E151)))</formula>
    </cfRule>
  </conditionalFormatting>
  <conditionalFormatting sqref="E161">
    <cfRule type="containsText" dxfId="107" priority="97" operator="containsText" text="Out of Compliance">
      <formula>NOT(ISERROR(SEARCH("Out of Compliance",E161)))</formula>
    </cfRule>
  </conditionalFormatting>
  <conditionalFormatting sqref="E171">
    <cfRule type="containsText" dxfId="106" priority="95" operator="containsText" text="Out of Compliance">
      <formula>NOT(ISERROR(SEARCH("Out of Compliance",E171)))</formula>
    </cfRule>
  </conditionalFormatting>
  <conditionalFormatting sqref="E141:F141">
    <cfRule type="containsText" dxfId="105" priority="100" operator="containsText" text="In compliance">
      <formula>NOT(ISERROR(SEARCH("In compliance",E141)))</formula>
    </cfRule>
  </conditionalFormatting>
  <conditionalFormatting sqref="E151:F151">
    <cfRule type="containsText" dxfId="104" priority="98" operator="containsText" text="In compliance">
      <formula>NOT(ISERROR(SEARCH("In compliance",E151)))</formula>
    </cfRule>
  </conditionalFormatting>
  <conditionalFormatting sqref="E161:F161">
    <cfRule type="containsText" dxfId="103" priority="96" operator="containsText" text="In compliance">
      <formula>NOT(ISERROR(SEARCH("In compliance",E161)))</formula>
    </cfRule>
  </conditionalFormatting>
  <conditionalFormatting sqref="E171:F171">
    <cfRule type="containsText" dxfId="102" priority="94" operator="containsText" text="In compliance">
      <formula>NOT(ISERROR(SEARCH("In compliance",E171)))</formula>
    </cfRule>
  </conditionalFormatting>
  <conditionalFormatting sqref="E331:H350">
    <cfRule type="expression" dxfId="101" priority="9">
      <formula>$D$319="No"</formula>
    </cfRule>
    <cfRule type="expression" dxfId="100" priority="10" stopIfTrue="1">
      <formula>AND($E$351&lt;&gt;0,$F$351&lt;&gt;0,$G$351&lt;&gt;0,$H$351&lt;&gt;0)</formula>
    </cfRule>
    <cfRule type="expression" dxfId="99" priority="11">
      <formula>$D$319="Yes"</formula>
    </cfRule>
  </conditionalFormatting>
  <conditionalFormatting sqref="G141">
    <cfRule type="containsText" dxfId="98" priority="130" operator="containsText" text="In compliance">
      <formula>NOT(ISERROR(SEARCH("In compliance",G141)))</formula>
    </cfRule>
  </conditionalFormatting>
  <conditionalFormatting sqref="G94:L102">
    <cfRule type="expression" dxfId="97" priority="24" stopIfTrue="1">
      <formula>NOT(ISBLANK($G94))</formula>
    </cfRule>
    <cfRule type="expression" dxfId="96" priority="25">
      <formula>AND($F94 &lt;10%,$F94&gt;-10%)</formula>
    </cfRule>
    <cfRule type="expression" dxfId="95" priority="26">
      <formula>OR($F94&gt;=10%,$F94&lt;=-10%)</formula>
    </cfRule>
  </conditionalFormatting>
  <conditionalFormatting sqref="G105:L113">
    <cfRule type="expression" dxfId="94" priority="21" stopIfTrue="1">
      <formula>NOT(ISBLANK($G105))</formula>
    </cfRule>
    <cfRule type="expression" dxfId="93" priority="22">
      <formula>AND($F105 &lt;10%,$F105&gt;-10%)</formula>
    </cfRule>
    <cfRule type="expression" dxfId="92" priority="23">
      <formula>OR($F105&gt;=10%,$F105&lt;=-10%)</formula>
    </cfRule>
  </conditionalFormatting>
  <conditionalFormatting sqref="I56">
    <cfRule type="cellIs" dxfId="91" priority="135" operator="between">
      <formula>0.1</formula>
      <formula>-0.01</formula>
    </cfRule>
    <cfRule type="expression" dxfId="90" priority="136">
      <formula>OR($I$56&gt;0.1,$I$56&lt;-0.1)</formula>
    </cfRule>
  </conditionalFormatting>
  <dataValidations count="2">
    <dataValidation type="list" allowBlank="1" showInputMessage="1" showErrorMessage="1" sqref="F31 E39 G73 E233 F278 G20:G21 E64 D63:D65 F192 D191:D192 F213 E220 E88:E89 D212:D215 D319 D259:D261" xr:uid="{902E87DE-CEBD-4310-8B66-17B6C35CEED5}">
      <formula1>"Select Yes/No,Yes,No"</formula1>
    </dataValidation>
    <dataValidation type="list" allowBlank="1" showInputMessage="1" showErrorMessage="1" sqref="C225:C230 C238:C243 C249:C254" xr:uid="{4A0031C3-9976-4C9E-B102-11242458FF22}">
      <formula1>"Select Quarter, 12/31,03/31,06/30,09/30"</formula1>
    </dataValidation>
  </dataValidations>
  <pageMargins left="0.75" right="0.75" top="1" bottom="1" header="0.5" footer="0.5"/>
  <pageSetup scale="94" orientation="portrait" r:id="rId1"/>
  <headerFooter alignWithMargins="0">
    <oddFooter>&amp;L&amp;8
&amp;F&amp;A</oddFooter>
  </headerFooter>
  <ignoredErrors>
    <ignoredError sqref="C2 D5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B5B0-20D4-41FB-9056-E3956C71D3C8}">
  <dimension ref="A1:I119"/>
  <sheetViews>
    <sheetView showGridLines="0" workbookViewId="0">
      <selection activeCell="J108" sqref="J108"/>
    </sheetView>
  </sheetViews>
  <sheetFormatPr defaultColWidth="100.54296875" defaultRowHeight="14.5" x14ac:dyDescent="0.35"/>
  <cols>
    <col min="1" max="1" width="16.54296875" style="974" customWidth="1"/>
    <col min="2" max="2" width="64.81640625" style="974" bestFit="1" customWidth="1"/>
    <col min="3" max="4" width="15.7265625" style="974" customWidth="1"/>
    <col min="5" max="6" width="12.1796875" style="974" customWidth="1"/>
    <col min="7" max="7" width="11.453125" style="974" customWidth="1"/>
    <col min="8" max="8" width="12.81640625" style="974" customWidth="1"/>
    <col min="9" max="9" width="13.1796875" style="974" customWidth="1"/>
    <col min="10" max="16384" width="100.54296875" style="974"/>
  </cols>
  <sheetData>
    <row r="1" spans="1:9" ht="15" thickBot="1" x14ac:dyDescent="0.4">
      <c r="A1" s="1468" t="s">
        <v>554</v>
      </c>
      <c r="B1" s="1500"/>
      <c r="C1" s="2019"/>
      <c r="D1" s="2019"/>
      <c r="E1" s="2019"/>
      <c r="F1" s="2019"/>
      <c r="G1" s="2019"/>
      <c r="H1" s="2019"/>
      <c r="I1" s="2020"/>
    </row>
    <row r="2" spans="1:9" x14ac:dyDescent="0.35">
      <c r="A2" s="8" t="s">
        <v>45</v>
      </c>
      <c r="B2" s="8" t="str">
        <f>'Instruction &amp; Audit Report B '!C20</f>
        <v>Select Contractor Name</v>
      </c>
      <c r="C2" s="2021"/>
      <c r="D2" s="2021"/>
      <c r="E2" s="2021"/>
      <c r="F2" s="2021"/>
      <c r="G2" s="2021"/>
      <c r="H2" s="2021"/>
      <c r="I2" s="2021"/>
    </row>
    <row r="3" spans="1:9" x14ac:dyDescent="0.35">
      <c r="A3" s="944" t="s">
        <v>555</v>
      </c>
      <c r="B3" s="862" t="str">
        <f>'Instruction &amp; Audit Report B '!C21</f>
        <v>mm/dd/yyyy</v>
      </c>
      <c r="C3" s="2021"/>
      <c r="D3" s="2021"/>
      <c r="E3" s="2021"/>
      <c r="F3" s="2021"/>
      <c r="G3" s="2021"/>
      <c r="H3" s="2021"/>
      <c r="I3" s="2021"/>
    </row>
    <row r="4" spans="1:9" x14ac:dyDescent="0.35">
      <c r="A4" s="2006"/>
      <c r="B4" s="2021"/>
      <c r="C4" s="2021"/>
      <c r="D4" s="2021"/>
      <c r="E4" s="2021"/>
      <c r="F4" s="2021"/>
      <c r="G4" s="2021"/>
      <c r="H4" s="2021"/>
      <c r="I4" s="2021"/>
    </row>
    <row r="5" spans="1:9" x14ac:dyDescent="0.35">
      <c r="A5" s="8" t="s">
        <v>425</v>
      </c>
      <c r="B5" s="2021"/>
      <c r="C5" s="2021"/>
      <c r="D5" s="2021"/>
      <c r="E5" s="2021"/>
      <c r="F5" s="2021"/>
      <c r="G5" s="2021"/>
      <c r="H5" s="2021"/>
      <c r="I5" s="2021"/>
    </row>
    <row r="6" spans="1:9" x14ac:dyDescent="0.35">
      <c r="A6" s="1010" t="s">
        <v>556</v>
      </c>
      <c r="B6" s="2021"/>
      <c r="C6" s="2021"/>
      <c r="D6" s="2021"/>
      <c r="E6" s="2021"/>
      <c r="F6" s="2021"/>
      <c r="G6" s="2021"/>
      <c r="H6" s="2021"/>
      <c r="I6" s="2021"/>
    </row>
    <row r="7" spans="1:9" x14ac:dyDescent="0.35">
      <c r="A7" s="1010" t="s">
        <v>557</v>
      </c>
      <c r="B7" s="2021"/>
      <c r="C7" s="2021"/>
      <c r="D7" s="2021"/>
      <c r="E7" s="2021"/>
      <c r="F7" s="2021"/>
      <c r="G7" s="2021"/>
      <c r="H7" s="2021"/>
      <c r="I7" s="2021"/>
    </row>
    <row r="8" spans="1:9" ht="14.5" customHeight="1" x14ac:dyDescent="0.35">
      <c r="A8" s="1010" t="s">
        <v>558</v>
      </c>
      <c r="B8" s="2021"/>
      <c r="C8" s="2021"/>
      <c r="D8" s="2021"/>
      <c r="E8" s="2021"/>
      <c r="F8" s="2021"/>
      <c r="G8" s="2021"/>
      <c r="H8" s="2021"/>
      <c r="I8" s="2021"/>
    </row>
    <row r="9" spans="1:9" x14ac:dyDescent="0.35">
      <c r="A9" s="1010" t="s">
        <v>429</v>
      </c>
      <c r="B9" s="2021"/>
      <c r="C9" s="2021"/>
      <c r="D9" s="2021"/>
      <c r="E9" s="2021"/>
      <c r="F9" s="2021"/>
      <c r="G9" s="2021"/>
      <c r="H9" s="2021"/>
      <c r="I9" s="2021"/>
    </row>
    <row r="10" spans="1:9" x14ac:dyDescent="0.35">
      <c r="A10" s="1010" t="s">
        <v>559</v>
      </c>
      <c r="B10" s="2021"/>
      <c r="C10" s="2021"/>
      <c r="D10" s="2021"/>
      <c r="E10" s="2021"/>
      <c r="F10" s="2021"/>
      <c r="G10" s="2021"/>
      <c r="H10" s="2021"/>
      <c r="I10" s="2021"/>
    </row>
    <row r="11" spans="1:9" ht="15" thickBot="1" x14ac:dyDescent="0.4">
      <c r="A11" s="2021"/>
      <c r="B11" s="2021"/>
      <c r="C11" s="2021"/>
      <c r="D11" s="2021"/>
      <c r="E11" s="2021"/>
      <c r="F11" s="2021"/>
      <c r="G11" s="2021"/>
      <c r="H11" s="2021"/>
      <c r="I11" s="2021"/>
    </row>
    <row r="12" spans="1:9" ht="13" customHeight="1" x14ac:dyDescent="0.35">
      <c r="A12" s="2021"/>
      <c r="B12" s="2021"/>
      <c r="C12" s="1501" t="s">
        <v>560</v>
      </c>
      <c r="D12" s="1502" t="s">
        <v>463</v>
      </c>
      <c r="E12" s="2243" t="s">
        <v>561</v>
      </c>
      <c r="F12" s="2245" t="s">
        <v>562</v>
      </c>
      <c r="G12" s="2245" t="s">
        <v>563</v>
      </c>
      <c r="H12" s="2245" t="s">
        <v>564</v>
      </c>
      <c r="I12" s="2241" t="s">
        <v>565</v>
      </c>
    </row>
    <row r="13" spans="1:9" ht="29.15" customHeight="1" thickBot="1" x14ac:dyDescent="0.4">
      <c r="A13" s="2021"/>
      <c r="B13" s="2021"/>
      <c r="C13" s="1503" t="str">
        <f>IFERROR(EOMONTH(D13,-3),"mm/dd/yyyy")</f>
        <v>mm/dd/yyyy</v>
      </c>
      <c r="D13" s="1504" t="str">
        <f>B3</f>
        <v>mm/dd/yyyy</v>
      </c>
      <c r="E13" s="2244"/>
      <c r="F13" s="2246"/>
      <c r="G13" s="2246"/>
      <c r="H13" s="2246"/>
      <c r="I13" s="2242"/>
    </row>
    <row r="14" spans="1:9" x14ac:dyDescent="0.35">
      <c r="A14" s="2022"/>
      <c r="B14" s="1011" t="s">
        <v>80</v>
      </c>
      <c r="C14" s="2023"/>
      <c r="D14" s="2024"/>
      <c r="E14" s="2023"/>
      <c r="F14" s="2025"/>
      <c r="G14" s="2025"/>
      <c r="H14" s="2025"/>
      <c r="I14" s="2024"/>
    </row>
    <row r="15" spans="1:9" x14ac:dyDescent="0.35">
      <c r="A15" s="2026"/>
      <c r="B15" s="1012" t="s">
        <v>81</v>
      </c>
      <c r="C15" s="2027"/>
      <c r="D15" s="2028"/>
      <c r="E15" s="2027"/>
      <c r="F15" s="2029"/>
      <c r="G15" s="2029"/>
      <c r="H15" s="2029"/>
      <c r="I15" s="2028"/>
    </row>
    <row r="16" spans="1:9" x14ac:dyDescent="0.35">
      <c r="A16" s="2026"/>
      <c r="B16" s="1013" t="s">
        <v>82</v>
      </c>
      <c r="C16" s="2027"/>
      <c r="D16" s="2028"/>
      <c r="E16" s="2027"/>
      <c r="F16" s="2029"/>
      <c r="G16" s="2029"/>
      <c r="H16" s="2029"/>
      <c r="I16" s="2028"/>
    </row>
    <row r="17" spans="1:9" x14ac:dyDescent="0.35">
      <c r="A17" s="660" t="s">
        <v>83</v>
      </c>
      <c r="B17" s="659" t="s">
        <v>84</v>
      </c>
      <c r="C17" s="1014" cm="1">
        <f t="array" ref="C17">IF($C$13="mm/dd/yyyy",0,_xlfn.XLOOKUP($C$13,'FS-Balance Sheet 3.04'!$C$5:$F$5,_xlfn.XLOOKUP(A17,'FS-Balance Sheet 3.04'!$A$9:$A$150,'FS-Balance Sheet 3.04'!$C$9:$F$150),"Manual Entry"))</f>
        <v>0</v>
      </c>
      <c r="D17" s="1015" cm="1">
        <f t="array" ref="D17">IF($D$13="mm/dd/yyyy",0,_xlfn.XLOOKUP($D$13,'FS-Balance Sheet 3.04'!$C$5:$F$5,_xlfn.XLOOKUP(A17,'FS-Balance Sheet 3.04'!$A$9:$A$150,'FS-Balance Sheet 3.04'!$C$9:$F$150)))</f>
        <v>0</v>
      </c>
      <c r="E17" s="2030">
        <f t="shared" ref="E17" si="0">IF(C17="Manual Entry",0,D17-C17)</f>
        <v>0</v>
      </c>
      <c r="F17" s="2031">
        <f t="shared" ref="F17" si="1">IF(OR(AND(C17=0,D17=0),C17="Manual Entry"),0%,IF(AND(C17=0,D17&lt;&gt;0),100%,IF(C17&lt;0,(D17+ABS(C17))/ABS(C17),D17/C17-1)))</f>
        <v>0</v>
      </c>
      <c r="G17" s="2031">
        <f t="shared" ref="G17" si="2">IF(OR(C17=0,C17="Manual Entry"),0,C17/$C$44)</f>
        <v>0</v>
      </c>
      <c r="H17" s="2031">
        <f>IF(D17=0,0,D17/$D$44)</f>
        <v>0</v>
      </c>
      <c r="I17" s="1016" t="str">
        <f>IF(OR(AND(F17&gt;=5%,G17&gt;=5%),AND(F17&gt;=5%,H17&gt;=5%),AND(F17&lt;=-5%,G17&lt;=-5%),AND(F17&lt;=-5%,H17&lt;=-5%),AND(F17&lt;=-5%,G17&gt;=5%),AND(F17&lt;=-5%,H17&gt;=5%),AND(F17&gt;=5%,G17&lt;=-5%),AND(F17&gt;=5%,H17&lt;=-5%)),"Yes","No")</f>
        <v>No</v>
      </c>
    </row>
    <row r="18" spans="1:9" x14ac:dyDescent="0.35">
      <c r="A18" s="660" t="s">
        <v>85</v>
      </c>
      <c r="B18" s="659" t="s">
        <v>86</v>
      </c>
      <c r="C18" s="1014" cm="1">
        <f t="array" ref="C18">IF($C$13="mm/dd/yyyy",0,_xlfn.XLOOKUP($C$13,'FS-Balance Sheet 3.04'!$C$5:$F$5,_xlfn.XLOOKUP(A18,'FS-Balance Sheet 3.04'!$A$9:$A$150,'FS-Balance Sheet 3.04'!$C$9:$F$150),"Manual Entry"))</f>
        <v>0</v>
      </c>
      <c r="D18" s="1015" cm="1">
        <f t="array" ref="D18">IF($D$13="mm/dd/yyyy",0,_xlfn.XLOOKUP($D$13,'FS-Balance Sheet 3.04'!$C$5:$F$5,_xlfn.XLOOKUP(A18,'FS-Balance Sheet 3.04'!$A$9:$A$150,'FS-Balance Sheet 3.04'!$C$9:$F$150)))</f>
        <v>0</v>
      </c>
      <c r="E18" s="2030">
        <f t="shared" ref="E18:E25" si="3">IF(C18="Manual Entry",0,D18-C18)</f>
        <v>0</v>
      </c>
      <c r="F18" s="2031">
        <f t="shared" ref="F18:F25" si="4">IF(OR(AND(C18=0,D18=0),C18="Manual Entry"),0%,IF(AND(C18=0,D18&lt;&gt;0),100%,IF(C18&lt;0,(D18+ABS(C18))/ABS(C18),D18/C18-1)))</f>
        <v>0</v>
      </c>
      <c r="G18" s="2031">
        <f t="shared" ref="G18:G25" si="5">IF(OR(C18=0,C18="Manual Entry"),0,C18/$C$44)</f>
        <v>0</v>
      </c>
      <c r="H18" s="2031">
        <f t="shared" ref="H18:H25" si="6">IF(D18=0,0,D18/$D$44)</f>
        <v>0</v>
      </c>
      <c r="I18" s="1016" t="str">
        <f t="shared" ref="I18:I25" si="7">IF(OR(AND(F18&gt;=5%,G18&gt;=5%),AND(F18&gt;=5%,H18&gt;=5%),AND(F18&lt;=-5%,G18&lt;=-5%),AND(F18&lt;=-5%,H18&lt;=-5%),AND(F18&lt;=-5%,G18&gt;=5%),AND(F18&lt;=-5%,H18&gt;=5%),AND(F18&gt;=5%,G18&lt;=-5%),AND(F18&gt;=5%,H18&lt;=-5%)),"Yes","No")</f>
        <v>No</v>
      </c>
    </row>
    <row r="19" spans="1:9" x14ac:dyDescent="0.35">
      <c r="A19" s="662" t="s">
        <v>87</v>
      </c>
      <c r="B19" s="1017" t="s">
        <v>88</v>
      </c>
      <c r="C19" s="1014" cm="1">
        <f t="array" ref="C19">IF($C$13="mm/dd/yyyy",0,_xlfn.XLOOKUP($C$13,'FS-Balance Sheet 3.04'!$C$5:$F$5,_xlfn.XLOOKUP(A19,'FS-Balance Sheet 3.04'!$A$9:$A$150,'FS-Balance Sheet 3.04'!$C$9:$F$150),"Manual Entry"))</f>
        <v>0</v>
      </c>
      <c r="D19" s="1015" cm="1">
        <f t="array" ref="D19">IF($D$13="mm/dd/yyyy",0,_xlfn.XLOOKUP($D$13,'FS-Balance Sheet 3.04'!$C$5:$F$5,_xlfn.XLOOKUP(A19,'FS-Balance Sheet 3.04'!$A$9:$A$150,'FS-Balance Sheet 3.04'!$C$9:$F$150)))</f>
        <v>0</v>
      </c>
      <c r="E19" s="2030">
        <f t="shared" si="3"/>
        <v>0</v>
      </c>
      <c r="F19" s="2031">
        <f t="shared" si="4"/>
        <v>0</v>
      </c>
      <c r="G19" s="2031">
        <f t="shared" si="5"/>
        <v>0</v>
      </c>
      <c r="H19" s="2031">
        <f t="shared" si="6"/>
        <v>0</v>
      </c>
      <c r="I19" s="1016" t="str">
        <f t="shared" si="7"/>
        <v>No</v>
      </c>
    </row>
    <row r="20" spans="1:9" x14ac:dyDescent="0.35">
      <c r="A20" s="660" t="s">
        <v>89</v>
      </c>
      <c r="B20" s="664" t="s">
        <v>90</v>
      </c>
      <c r="C20" s="1014" cm="1">
        <f t="array" ref="C20">IF($C$13="mm/dd/yyyy",0,_xlfn.XLOOKUP($C$13,'FS-Balance Sheet 3.04'!$C$5:$F$5,_xlfn.XLOOKUP(A20,'FS-Balance Sheet 3.04'!$A$9:$A$150,'FS-Balance Sheet 3.04'!$C$9:$F$150),"Manual Entry"))</f>
        <v>0</v>
      </c>
      <c r="D20" s="1015" cm="1">
        <f t="array" ref="D20">IF($D$13="mm/dd/yyyy",0,_xlfn.XLOOKUP($D$13,'FS-Balance Sheet 3.04'!$C$5:$F$5,_xlfn.XLOOKUP(A20,'FS-Balance Sheet 3.04'!$A$9:$A$150,'FS-Balance Sheet 3.04'!$C$9:$F$150)))</f>
        <v>0</v>
      </c>
      <c r="E20" s="2030">
        <f t="shared" si="3"/>
        <v>0</v>
      </c>
      <c r="F20" s="2031">
        <f t="shared" si="4"/>
        <v>0</v>
      </c>
      <c r="G20" s="2031">
        <f t="shared" si="5"/>
        <v>0</v>
      </c>
      <c r="H20" s="2031">
        <f t="shared" si="6"/>
        <v>0</v>
      </c>
      <c r="I20" s="1016" t="str">
        <f t="shared" si="7"/>
        <v>No</v>
      </c>
    </row>
    <row r="21" spans="1:9" x14ac:dyDescent="0.35">
      <c r="A21" s="660" t="s">
        <v>91</v>
      </c>
      <c r="B21" s="664" t="s">
        <v>92</v>
      </c>
      <c r="C21" s="1014" cm="1">
        <f t="array" ref="C21">IF($C$13="mm/dd/yyyy",0,_xlfn.XLOOKUP($C$13,'FS-Balance Sheet 3.04'!$C$5:$F$5,_xlfn.XLOOKUP(A21,'FS-Balance Sheet 3.04'!$A$9:$A$150,'FS-Balance Sheet 3.04'!$C$9:$F$150),"Manual Entry"))</f>
        <v>0</v>
      </c>
      <c r="D21" s="1015" cm="1">
        <f t="array" ref="D21">IF($D$13="mm/dd/yyyy",0,_xlfn.XLOOKUP($D$13,'FS-Balance Sheet 3.04'!$C$5:$F$5,_xlfn.XLOOKUP(A21,'FS-Balance Sheet 3.04'!$A$9:$A$150,'FS-Balance Sheet 3.04'!$C$9:$F$150)))</f>
        <v>0</v>
      </c>
      <c r="E21" s="2030">
        <f t="shared" si="3"/>
        <v>0</v>
      </c>
      <c r="F21" s="2031">
        <f t="shared" si="4"/>
        <v>0</v>
      </c>
      <c r="G21" s="2031">
        <f t="shared" si="5"/>
        <v>0</v>
      </c>
      <c r="H21" s="2031">
        <f t="shared" si="6"/>
        <v>0</v>
      </c>
      <c r="I21" s="1016" t="str">
        <f t="shared" si="7"/>
        <v>No</v>
      </c>
    </row>
    <row r="22" spans="1:9" x14ac:dyDescent="0.35">
      <c r="A22" s="660" t="s">
        <v>93</v>
      </c>
      <c r="B22" s="659" t="s">
        <v>94</v>
      </c>
      <c r="C22" s="1014" cm="1">
        <f t="array" ref="C22">IF($C$13="mm/dd/yyyy",0,_xlfn.XLOOKUP($C$13,'FS-Balance Sheet 3.04'!$C$5:$F$5,_xlfn.XLOOKUP(A22,'FS-Balance Sheet 3.04'!$A$9:$A$150,'FS-Balance Sheet 3.04'!$C$9:$F$150),"Manual Entry"))</f>
        <v>0</v>
      </c>
      <c r="D22" s="1015" cm="1">
        <f t="array" ref="D22">IF($D$13="mm/dd/yyyy",0,_xlfn.XLOOKUP($D$13,'FS-Balance Sheet 3.04'!$C$5:$F$5,_xlfn.XLOOKUP(A22,'FS-Balance Sheet 3.04'!$A$9:$A$150,'FS-Balance Sheet 3.04'!$C$9:$F$150)))</f>
        <v>0</v>
      </c>
      <c r="E22" s="2030">
        <f t="shared" si="3"/>
        <v>0</v>
      </c>
      <c r="F22" s="2031">
        <f t="shared" si="4"/>
        <v>0</v>
      </c>
      <c r="G22" s="2031">
        <f t="shared" si="5"/>
        <v>0</v>
      </c>
      <c r="H22" s="2031">
        <f t="shared" si="6"/>
        <v>0</v>
      </c>
      <c r="I22" s="1016" t="str">
        <f t="shared" si="7"/>
        <v>No</v>
      </c>
    </row>
    <row r="23" spans="1:9" x14ac:dyDescent="0.35">
      <c r="A23" s="660" t="s">
        <v>95</v>
      </c>
      <c r="B23" s="659" t="s">
        <v>96</v>
      </c>
      <c r="C23" s="1014" cm="1">
        <f t="array" ref="C23">IF($C$13="mm/dd/yyyy",0,_xlfn.XLOOKUP($C$13,'FS-Balance Sheet 3.04'!$C$5:$F$5,_xlfn.XLOOKUP(A23,'FS-Balance Sheet 3.04'!$A$9:$A$150,'FS-Balance Sheet 3.04'!$C$9:$F$150),"Manual Entry"))</f>
        <v>0</v>
      </c>
      <c r="D23" s="1015" cm="1">
        <f t="array" ref="D23">IF($D$13="mm/dd/yyyy",0,_xlfn.XLOOKUP($D$13,'FS-Balance Sheet 3.04'!$C$5:$F$5,_xlfn.XLOOKUP(A23,'FS-Balance Sheet 3.04'!$A$9:$A$150,'FS-Balance Sheet 3.04'!$C$9:$F$150)))</f>
        <v>0</v>
      </c>
      <c r="E23" s="2030">
        <f t="shared" si="3"/>
        <v>0</v>
      </c>
      <c r="F23" s="2031">
        <f t="shared" si="4"/>
        <v>0</v>
      </c>
      <c r="G23" s="2031">
        <f t="shared" si="5"/>
        <v>0</v>
      </c>
      <c r="H23" s="2031">
        <f t="shared" si="6"/>
        <v>0</v>
      </c>
      <c r="I23" s="1016" t="str">
        <f t="shared" si="7"/>
        <v>No</v>
      </c>
    </row>
    <row r="24" spans="1:9" x14ac:dyDescent="0.35">
      <c r="A24" s="660" t="s">
        <v>97</v>
      </c>
      <c r="B24" s="659" t="s">
        <v>98</v>
      </c>
      <c r="C24" s="1014" cm="1">
        <f t="array" ref="C24">IF($C$13="mm/dd/yyyy",0,_xlfn.XLOOKUP($C$13,'FS-Balance Sheet 3.04'!$C$5:$F$5,_xlfn.XLOOKUP(A24,'FS-Balance Sheet 3.04'!$A$9:$A$150,'FS-Balance Sheet 3.04'!$C$9:$F$150),"Manual Entry"))</f>
        <v>0</v>
      </c>
      <c r="D24" s="1015" cm="1">
        <f t="array" ref="D24">IF($D$13="mm/dd/yyyy",0,_xlfn.XLOOKUP($D$13,'FS-Balance Sheet 3.04'!$C$5:$F$5,_xlfn.XLOOKUP(A24,'FS-Balance Sheet 3.04'!$A$9:$A$150,'FS-Balance Sheet 3.04'!$C$9:$F$150)))</f>
        <v>0</v>
      </c>
      <c r="E24" s="2030">
        <f t="shared" si="3"/>
        <v>0</v>
      </c>
      <c r="F24" s="2031">
        <f t="shared" si="4"/>
        <v>0</v>
      </c>
      <c r="G24" s="2031">
        <f t="shared" si="5"/>
        <v>0</v>
      </c>
      <c r="H24" s="2031">
        <f t="shared" si="6"/>
        <v>0</v>
      </c>
      <c r="I24" s="1016" t="str">
        <f t="shared" si="7"/>
        <v>No</v>
      </c>
    </row>
    <row r="25" spans="1:9" ht="15" thickBot="1" x14ac:dyDescent="0.4">
      <c r="A25" s="660" t="s">
        <v>99</v>
      </c>
      <c r="B25" s="659" t="s">
        <v>100</v>
      </c>
      <c r="C25" s="1014" cm="1">
        <f t="array" ref="C25">IF($C$13="mm/dd/yyyy",0,_xlfn.XLOOKUP($C$13,'FS-Balance Sheet 3.04'!$C$5:$F$5,_xlfn.XLOOKUP(A25,'FS-Balance Sheet 3.04'!$A$9:$A$150,'FS-Balance Sheet 3.04'!$C$9:$F$150),"Manual Entry"))</f>
        <v>0</v>
      </c>
      <c r="D25" s="1015" cm="1">
        <f t="array" ref="D25">IF($D$13="mm/dd/yyyy",0,_xlfn.XLOOKUP($D$13,'FS-Balance Sheet 3.04'!$C$5:$F$5,_xlfn.XLOOKUP(A25,'FS-Balance Sheet 3.04'!$A$9:$A$150,'FS-Balance Sheet 3.04'!$C$9:$F$150)))</f>
        <v>0</v>
      </c>
      <c r="E25" s="2030">
        <f t="shared" si="3"/>
        <v>0</v>
      </c>
      <c r="F25" s="2031">
        <f t="shared" si="4"/>
        <v>0</v>
      </c>
      <c r="G25" s="2031">
        <f t="shared" si="5"/>
        <v>0</v>
      </c>
      <c r="H25" s="2031">
        <f t="shared" si="6"/>
        <v>0</v>
      </c>
      <c r="I25" s="1016" t="str">
        <f t="shared" si="7"/>
        <v>No</v>
      </c>
    </row>
    <row r="26" spans="1:9" ht="15" thickBot="1" x14ac:dyDescent="0.4">
      <c r="A26" s="1018">
        <v>10199</v>
      </c>
      <c r="B26" s="1019" t="s">
        <v>101</v>
      </c>
      <c r="C26" s="1020">
        <f>SUM(C17:C25)</f>
        <v>0</v>
      </c>
      <c r="D26" s="1021">
        <f>SUM(D17:D25)</f>
        <v>0</v>
      </c>
      <c r="E26" s="2032"/>
      <c r="F26" s="2033"/>
      <c r="G26" s="2033"/>
      <c r="H26" s="2033"/>
      <c r="I26" s="1022"/>
    </row>
    <row r="27" spans="1:9" x14ac:dyDescent="0.35">
      <c r="A27" s="27"/>
      <c r="B27" s="938" t="s">
        <v>60</v>
      </c>
      <c r="C27" s="1014"/>
      <c r="D27" s="1023"/>
      <c r="E27" s="2030"/>
      <c r="F27" s="2031"/>
      <c r="G27" s="2031"/>
      <c r="H27" s="2031"/>
      <c r="I27" s="1016"/>
    </row>
    <row r="28" spans="1:9" x14ac:dyDescent="0.35">
      <c r="A28" s="660" t="s">
        <v>102</v>
      </c>
      <c r="B28" s="659" t="s">
        <v>103</v>
      </c>
      <c r="C28" s="1014" cm="1">
        <f t="array" ref="C28">IF($C$13="mm/dd/yyyy",0,_xlfn.XLOOKUP($C$13,'FS-Balance Sheet 3.04'!$C$5:$F$5,_xlfn.XLOOKUP(A28,'FS-Balance Sheet 3.04'!$A$9:$A$150,'FS-Balance Sheet 3.04'!$C$9:$F$150),"Manual Entry"))</f>
        <v>0</v>
      </c>
      <c r="D28" s="1015" cm="1">
        <f t="array" ref="D28">IF($D$13="mm/dd/yyyy",0,_xlfn.XLOOKUP($D$13,'FS-Balance Sheet 3.04'!$C$5:$F$5,_xlfn.XLOOKUP(A28,'FS-Balance Sheet 3.04'!$A$9:$A$150,'FS-Balance Sheet 3.04'!$C$9:$F$150)))</f>
        <v>0</v>
      </c>
      <c r="E28" s="2030">
        <f t="shared" ref="E28:E32" si="8">IF(C28="Manual Entry",0,D28-C28)</f>
        <v>0</v>
      </c>
      <c r="F28" s="2031">
        <f t="shared" ref="F28:F32" si="9">IF(OR(AND(C28=0,D28=0),C28="Manual Entry"),0%,IF(AND(C28=0,D28&lt;&gt;0),100%,IF(C28&lt;0,(D28+ABS(C28))/ABS(C28),D28/C28-1)))</f>
        <v>0</v>
      </c>
      <c r="G28" s="2031">
        <f t="shared" ref="G28:G32" si="10">IF(OR(C28=0,C28="Manual Entry"),0,C28/$C$44)</f>
        <v>0</v>
      </c>
      <c r="H28" s="2031">
        <f t="shared" ref="H28:H32" si="11">IF(D28=0,0,D28/$D$44)</f>
        <v>0</v>
      </c>
      <c r="I28" s="1016" t="str">
        <f t="shared" ref="I28:I32" si="12">IF(OR(AND(F28&gt;=5%,G28&gt;=5%),AND(F28&gt;=5%,H28&gt;=5%),AND(F28&lt;=-5%,G28&lt;=-5%),AND(F28&lt;=-5%,H28&lt;=-5%),AND(F28&lt;=-5%,G28&gt;=5%),AND(F28&lt;=-5%,H28&gt;=5%),AND(F28&gt;=5%,G28&lt;=-5%),AND(F28&gt;=5%,H28&lt;=-5%)),"Yes","No")</f>
        <v>No</v>
      </c>
    </row>
    <row r="29" spans="1:9" x14ac:dyDescent="0.35">
      <c r="A29" s="660" t="s">
        <v>104</v>
      </c>
      <c r="B29" s="659" t="s">
        <v>105</v>
      </c>
      <c r="C29" s="1014" cm="1">
        <f t="array" ref="C29">IF($C$13="mm/dd/yyyy",0,_xlfn.XLOOKUP($C$13,'FS-Balance Sheet 3.04'!$C$5:$F$5,_xlfn.XLOOKUP(A29,'FS-Balance Sheet 3.04'!$A$9:$A$150,'FS-Balance Sheet 3.04'!$C$9:$F$150),"Manual Entry"))</f>
        <v>0</v>
      </c>
      <c r="D29" s="1015" cm="1">
        <f t="array" ref="D29">IF($D$13="mm/dd/yyyy",0,_xlfn.XLOOKUP($D$13,'FS-Balance Sheet 3.04'!$C$5:$F$5,_xlfn.XLOOKUP(A29,'FS-Balance Sheet 3.04'!$A$9:$A$150,'FS-Balance Sheet 3.04'!$C$9:$F$150)))</f>
        <v>0</v>
      </c>
      <c r="E29" s="2030">
        <f t="shared" si="8"/>
        <v>0</v>
      </c>
      <c r="F29" s="2031">
        <f t="shared" si="9"/>
        <v>0</v>
      </c>
      <c r="G29" s="2031">
        <f t="shared" si="10"/>
        <v>0</v>
      </c>
      <c r="H29" s="2031">
        <f t="shared" si="11"/>
        <v>0</v>
      </c>
      <c r="I29" s="1016" t="str">
        <f t="shared" si="12"/>
        <v>No</v>
      </c>
    </row>
    <row r="30" spans="1:9" x14ac:dyDescent="0.35">
      <c r="A30" s="660" t="s">
        <v>106</v>
      </c>
      <c r="B30" s="659" t="s">
        <v>107</v>
      </c>
      <c r="C30" s="1014" cm="1">
        <f t="array" ref="C30">IF($C$13="mm/dd/yyyy",0,_xlfn.XLOOKUP($C$13,'FS-Balance Sheet 3.04'!$C$5:$F$5,_xlfn.XLOOKUP(A30,'FS-Balance Sheet 3.04'!$A$9:$A$150,'FS-Balance Sheet 3.04'!$C$9:$F$150),"Manual Entry"))</f>
        <v>0</v>
      </c>
      <c r="D30" s="1015" cm="1">
        <f t="array" ref="D30">IF($D$13="mm/dd/yyyy",0,_xlfn.XLOOKUP($D$13,'FS-Balance Sheet 3.04'!$C$5:$F$5,_xlfn.XLOOKUP(A30,'FS-Balance Sheet 3.04'!$A$9:$A$150,'FS-Balance Sheet 3.04'!$C$9:$F$150)))</f>
        <v>0</v>
      </c>
      <c r="E30" s="2030">
        <f t="shared" si="8"/>
        <v>0</v>
      </c>
      <c r="F30" s="2031">
        <f t="shared" si="9"/>
        <v>0</v>
      </c>
      <c r="G30" s="2031">
        <f t="shared" si="10"/>
        <v>0</v>
      </c>
      <c r="H30" s="2031">
        <f t="shared" si="11"/>
        <v>0</v>
      </c>
      <c r="I30" s="1016" t="str">
        <f t="shared" si="12"/>
        <v>No</v>
      </c>
    </row>
    <row r="31" spans="1:9" x14ac:dyDescent="0.35">
      <c r="A31" s="660" t="s">
        <v>108</v>
      </c>
      <c r="B31" s="659" t="s">
        <v>109</v>
      </c>
      <c r="C31" s="1014" cm="1">
        <f t="array" ref="C31">IF($C$13="mm/dd/yyyy",0,_xlfn.XLOOKUP($C$13,'FS-Balance Sheet 3.04'!$C$5:$F$5,_xlfn.XLOOKUP(A31,'FS-Balance Sheet 3.04'!$A$9:$A$150,'FS-Balance Sheet 3.04'!$C$9:$F$150),"Manual Entry"))</f>
        <v>0</v>
      </c>
      <c r="D31" s="1015" cm="1">
        <f t="array" ref="D31">IF($D$13="mm/dd/yyyy",0,_xlfn.XLOOKUP($D$13,'FS-Balance Sheet 3.04'!$C$5:$F$5,_xlfn.XLOOKUP(A31,'FS-Balance Sheet 3.04'!$A$9:$A$150,'FS-Balance Sheet 3.04'!$C$9:$F$150)))</f>
        <v>0</v>
      </c>
      <c r="E31" s="2030">
        <f t="shared" si="8"/>
        <v>0</v>
      </c>
      <c r="F31" s="2031">
        <f t="shared" si="9"/>
        <v>0</v>
      </c>
      <c r="G31" s="2031">
        <f t="shared" si="10"/>
        <v>0</v>
      </c>
      <c r="H31" s="2031">
        <f t="shared" si="11"/>
        <v>0</v>
      </c>
      <c r="I31" s="1016" t="str">
        <f t="shared" si="12"/>
        <v>No</v>
      </c>
    </row>
    <row r="32" spans="1:9" ht="15" thickBot="1" x14ac:dyDescent="0.4">
      <c r="A32" s="660" t="s">
        <v>110</v>
      </c>
      <c r="B32" s="659" t="s">
        <v>111</v>
      </c>
      <c r="C32" s="1014" cm="1">
        <f t="array" ref="C32">IF($C$13="mm/dd/yyyy",0,_xlfn.XLOOKUP($C$13,'FS-Balance Sheet 3.04'!$C$5:$F$5,_xlfn.XLOOKUP(A32,'FS-Balance Sheet 3.04'!$A$9:$A$150,'FS-Balance Sheet 3.04'!$C$9:$F$150),"Manual Entry"))</f>
        <v>0</v>
      </c>
      <c r="D32" s="1015" cm="1">
        <f t="array" ref="D32">IF($D$13="mm/dd/yyyy",0,_xlfn.XLOOKUP($D$13,'FS-Balance Sheet 3.04'!$C$5:$F$5,_xlfn.XLOOKUP(A32,'FS-Balance Sheet 3.04'!$A$9:$A$150,'FS-Balance Sheet 3.04'!$C$9:$F$150)))</f>
        <v>0</v>
      </c>
      <c r="E32" s="2030">
        <f t="shared" si="8"/>
        <v>0</v>
      </c>
      <c r="F32" s="2031">
        <f t="shared" si="9"/>
        <v>0</v>
      </c>
      <c r="G32" s="2031">
        <f t="shared" si="10"/>
        <v>0</v>
      </c>
      <c r="H32" s="2034">
        <f t="shared" si="11"/>
        <v>0</v>
      </c>
      <c r="I32" s="1016" t="str">
        <f t="shared" si="12"/>
        <v>No</v>
      </c>
    </row>
    <row r="33" spans="1:9" ht="15" thickBot="1" x14ac:dyDescent="0.4">
      <c r="A33" s="1024">
        <v>10299</v>
      </c>
      <c r="B33" s="1019" t="s">
        <v>112</v>
      </c>
      <c r="C33" s="1020">
        <f>SUM(C28:C32)</f>
        <v>0</v>
      </c>
      <c r="D33" s="1021">
        <f>SUM(D28:D32)</f>
        <v>0</v>
      </c>
      <c r="E33" s="2032"/>
      <c r="F33" s="2033"/>
      <c r="G33" s="2033"/>
      <c r="H33" s="2033"/>
      <c r="I33" s="1022"/>
    </row>
    <row r="34" spans="1:9" x14ac:dyDescent="0.35">
      <c r="A34" s="27"/>
      <c r="B34" s="938" t="s">
        <v>113</v>
      </c>
      <c r="C34" s="1014"/>
      <c r="D34" s="1023"/>
      <c r="E34" s="2030"/>
      <c r="F34" s="2031"/>
      <c r="G34" s="2031"/>
      <c r="H34" s="2031"/>
      <c r="I34" s="1016"/>
    </row>
    <row r="35" spans="1:9" x14ac:dyDescent="0.35">
      <c r="A35" s="660" t="s">
        <v>114</v>
      </c>
      <c r="B35" s="659" t="s">
        <v>115</v>
      </c>
      <c r="C35" s="1014" cm="1">
        <f t="array" ref="C35">IF($C$13="mm/dd/yyyy",0,_xlfn.XLOOKUP($C$13,'FS-Balance Sheet 3.04'!$C$5:$F$5,_xlfn.XLOOKUP(A35,'FS-Balance Sheet 3.04'!$A$9:$A$150,'FS-Balance Sheet 3.04'!$C$9:$F$150),"Manual Entry"))</f>
        <v>0</v>
      </c>
      <c r="D35" s="1015" cm="1">
        <f t="array" ref="D35">IF($D$13="mm/dd/yyyy",0,_xlfn.XLOOKUP($D$13,'FS-Balance Sheet 3.04'!$C$5:$F$5,_xlfn.XLOOKUP(A35,'FS-Balance Sheet 3.04'!$A$9:$A$150,'FS-Balance Sheet 3.04'!$C$9:$F$150)))</f>
        <v>0</v>
      </c>
      <c r="E35" s="2030">
        <f t="shared" ref="E35:E39" si="13">IF(C35="Manual Entry",0,D35-C35)</f>
        <v>0</v>
      </c>
      <c r="F35" s="2031">
        <f t="shared" ref="F35:F39" si="14">IF(OR(AND(C35=0,D35=0),C35="Manual Entry"),0%,IF(AND(C35=0,D35&lt;&gt;0),100%,IF(C35&lt;0,(D35+ABS(C35))/ABS(C35),D35/C35-1)))</f>
        <v>0</v>
      </c>
      <c r="G35" s="2031">
        <f t="shared" ref="G35:G39" si="15">IF(OR(C35=0,C35="Manual Entry"),0,C35/$C$44)</f>
        <v>0</v>
      </c>
      <c r="H35" s="2031">
        <f t="shared" ref="H35:H39" si="16">IF(D35=0,0,D35/$D$44)</f>
        <v>0</v>
      </c>
      <c r="I35" s="1016" t="str">
        <f t="shared" ref="I35:I41" si="17">IF(OR(AND(F35&gt;=5%,G35&gt;=5%),AND(F35&gt;=5%,H35&gt;=5%),AND(F35&lt;=-5%,G35&lt;=-5%),AND(F35&lt;=-5%,H35&lt;=-5%),AND(F35&lt;=-5%,G35&gt;=5%),AND(F35&lt;=-5%,H35&gt;=5%),AND(F35&gt;=5%,G35&lt;=-5%),AND(F35&gt;=5%,H35&lt;=-5%)),"Yes","No")</f>
        <v>No</v>
      </c>
    </row>
    <row r="36" spans="1:9" x14ac:dyDescent="0.35">
      <c r="A36" s="660" t="s">
        <v>116</v>
      </c>
      <c r="B36" s="659" t="s">
        <v>117</v>
      </c>
      <c r="C36" s="1014" cm="1">
        <f t="array" ref="C36">IF($C$13="mm/dd/yyyy",0,_xlfn.XLOOKUP($C$13,'FS-Balance Sheet 3.04'!$C$5:$F$5,_xlfn.XLOOKUP(A36,'FS-Balance Sheet 3.04'!$A$9:$A$150,'FS-Balance Sheet 3.04'!$C$9:$F$150),"Manual Entry"))</f>
        <v>0</v>
      </c>
      <c r="D36" s="1015" cm="1">
        <f t="array" ref="D36">IF($D$13="mm/dd/yyyy",0,_xlfn.XLOOKUP($D$13,'FS-Balance Sheet 3.04'!$C$5:$F$5,_xlfn.XLOOKUP(A36,'FS-Balance Sheet 3.04'!$A$9:$A$150,'FS-Balance Sheet 3.04'!$C$9:$F$150)))</f>
        <v>0</v>
      </c>
      <c r="E36" s="2030">
        <f t="shared" si="13"/>
        <v>0</v>
      </c>
      <c r="F36" s="2031">
        <f t="shared" si="14"/>
        <v>0</v>
      </c>
      <c r="G36" s="2031">
        <f t="shared" si="15"/>
        <v>0</v>
      </c>
      <c r="H36" s="2031">
        <f t="shared" si="16"/>
        <v>0</v>
      </c>
      <c r="I36" s="1016" t="str">
        <f t="shared" si="17"/>
        <v>No</v>
      </c>
    </row>
    <row r="37" spans="1:9" x14ac:dyDescent="0.35">
      <c r="A37" s="660" t="s">
        <v>118</v>
      </c>
      <c r="B37" s="659" t="s">
        <v>119</v>
      </c>
      <c r="C37" s="1014" cm="1">
        <f t="array" ref="C37">IF($C$13="mm/dd/yyyy",0,_xlfn.XLOOKUP($C$13,'FS-Balance Sheet 3.04'!$C$5:$F$5,_xlfn.XLOOKUP(A37,'FS-Balance Sheet 3.04'!$A$9:$A$150,'FS-Balance Sheet 3.04'!$C$9:$F$150),"Manual Entry"))</f>
        <v>0</v>
      </c>
      <c r="D37" s="1015" cm="1">
        <f t="array" ref="D37">IF($D$13="mm/dd/yyyy",0,_xlfn.XLOOKUP($D$13,'FS-Balance Sheet 3.04'!$C$5:$F$5,_xlfn.XLOOKUP(A37,'FS-Balance Sheet 3.04'!$A$9:$A$150,'FS-Balance Sheet 3.04'!$C$9:$F$150)))</f>
        <v>0</v>
      </c>
      <c r="E37" s="2030">
        <f t="shared" si="13"/>
        <v>0</v>
      </c>
      <c r="F37" s="2031">
        <f t="shared" si="14"/>
        <v>0</v>
      </c>
      <c r="G37" s="2031">
        <f t="shared" si="15"/>
        <v>0</v>
      </c>
      <c r="H37" s="2031">
        <f t="shared" si="16"/>
        <v>0</v>
      </c>
      <c r="I37" s="1016" t="str">
        <f t="shared" si="17"/>
        <v>No</v>
      </c>
    </row>
    <row r="38" spans="1:9" x14ac:dyDescent="0.35">
      <c r="A38" s="660" t="s">
        <v>120</v>
      </c>
      <c r="B38" s="659" t="s">
        <v>121</v>
      </c>
      <c r="C38" s="1014" cm="1">
        <f t="array" ref="C38">IF($C$13="mm/dd/yyyy",0,_xlfn.XLOOKUP($C$13,'FS-Balance Sheet 3.04'!$C$5:$F$5,_xlfn.XLOOKUP(A38,'FS-Balance Sheet 3.04'!$A$9:$A$150,'FS-Balance Sheet 3.04'!$C$9:$F$150),"Manual Entry"))</f>
        <v>0</v>
      </c>
      <c r="D38" s="1015" cm="1">
        <f t="array" ref="D38">IF($D$13="mm/dd/yyyy",0,_xlfn.XLOOKUP($D$13,'FS-Balance Sheet 3.04'!$C$5:$F$5,_xlfn.XLOOKUP(A38,'FS-Balance Sheet 3.04'!$A$9:$A$150,'FS-Balance Sheet 3.04'!$C$9:$F$150)))</f>
        <v>0</v>
      </c>
      <c r="E38" s="2030">
        <f t="shared" si="13"/>
        <v>0</v>
      </c>
      <c r="F38" s="2031">
        <f t="shared" si="14"/>
        <v>0</v>
      </c>
      <c r="G38" s="2031">
        <f t="shared" si="15"/>
        <v>0</v>
      </c>
      <c r="H38" s="2031">
        <f t="shared" si="16"/>
        <v>0</v>
      </c>
      <c r="I38" s="1016" t="str">
        <f t="shared" si="17"/>
        <v>No</v>
      </c>
    </row>
    <row r="39" spans="1:9" x14ac:dyDescent="0.35">
      <c r="A39" s="660" t="s">
        <v>122</v>
      </c>
      <c r="B39" s="659" t="s">
        <v>123</v>
      </c>
      <c r="C39" s="1014" cm="1">
        <f t="array" ref="C39">IF($C$13="mm/dd/yyyy",0,_xlfn.XLOOKUP($C$13,'FS-Balance Sheet 3.04'!$C$5:$F$5,_xlfn.XLOOKUP(A39,'FS-Balance Sheet 3.04'!$A$9:$A$150,'FS-Balance Sheet 3.04'!$C$9:$F$150),"Manual Entry"))</f>
        <v>0</v>
      </c>
      <c r="D39" s="1015" cm="1">
        <f t="array" ref="D39">IF($D$13="mm/dd/yyyy",0,_xlfn.XLOOKUP($D$13,'FS-Balance Sheet 3.04'!$C$5:$F$5,_xlfn.XLOOKUP(A39,'FS-Balance Sheet 3.04'!$A$9:$A$150,'FS-Balance Sheet 3.04'!$C$9:$F$150)))</f>
        <v>0</v>
      </c>
      <c r="E39" s="2030">
        <f t="shared" si="13"/>
        <v>0</v>
      </c>
      <c r="F39" s="2031">
        <f t="shared" si="14"/>
        <v>0</v>
      </c>
      <c r="G39" s="2031">
        <f t="shared" si="15"/>
        <v>0</v>
      </c>
      <c r="H39" s="2031">
        <f t="shared" si="16"/>
        <v>0</v>
      </c>
      <c r="I39" s="1016" t="str">
        <f t="shared" si="17"/>
        <v>No</v>
      </c>
    </row>
    <row r="40" spans="1:9" x14ac:dyDescent="0.35">
      <c r="A40" s="670" t="s">
        <v>124</v>
      </c>
      <c r="B40" s="659" t="s">
        <v>125</v>
      </c>
      <c r="C40" s="1025">
        <f>SUM(C35:C39)</f>
        <v>0</v>
      </c>
      <c r="D40" s="1026">
        <f>SUM(D35:D39)</f>
        <v>0</v>
      </c>
      <c r="E40" s="2035"/>
      <c r="F40" s="2036"/>
      <c r="G40" s="2036"/>
      <c r="H40" s="2036"/>
      <c r="I40" s="1027"/>
    </row>
    <row r="41" spans="1:9" ht="15" thickBot="1" x14ac:dyDescent="0.4">
      <c r="A41" s="660" t="s">
        <v>126</v>
      </c>
      <c r="B41" s="673" t="s">
        <v>127</v>
      </c>
      <c r="C41" s="1014" cm="1">
        <f t="array" ref="C41">IF($C$13="mm/dd/yyyy",0,_xlfn.XLOOKUP($C$13,'FS-Balance Sheet 3.04'!$C$5:$F$5,_xlfn.XLOOKUP(A41,'FS-Balance Sheet 3.04'!$A$9:$A$150,'FS-Balance Sheet 3.04'!$C$9:$F$150),"Manual Entry"))</f>
        <v>0</v>
      </c>
      <c r="D41" s="1015" cm="1">
        <f t="array" ref="D41">IF($D$13="mm/dd/yyyy",0,_xlfn.XLOOKUP($D$13,'FS-Balance Sheet 3.04'!$C$5:$F$5,_xlfn.XLOOKUP(A41,'FS-Balance Sheet 3.04'!$A$9:$A$150,'FS-Balance Sheet 3.04'!$C$9:$F$150)))</f>
        <v>0</v>
      </c>
      <c r="E41" s="2030">
        <f t="shared" ref="E41" si="18">IF(C41="Manual Entry",0,D41-C41)</f>
        <v>0</v>
      </c>
      <c r="F41" s="2031">
        <f t="shared" ref="F41" si="19">IF(OR(AND(C41=0,D41=0),C41="Manual Entry"),0%,IF(AND(C41=0,D41&lt;&gt;0),100%,IF(C41&lt;0,(D41+ABS(C41))/ABS(C41),D41/C41-1)))</f>
        <v>0</v>
      </c>
      <c r="G41" s="2031">
        <f t="shared" ref="G41" si="20">IF(OR(C41=0,C41="Manual Entry"),0,C41/$C$44)</f>
        <v>0</v>
      </c>
      <c r="H41" s="2031">
        <f>IF(D41=0,0,D41/$D$44)</f>
        <v>0</v>
      </c>
      <c r="I41" s="1016" t="str">
        <f t="shared" si="17"/>
        <v>No</v>
      </c>
    </row>
    <row r="42" spans="1:9" ht="15" thickBot="1" x14ac:dyDescent="0.4">
      <c r="A42" s="1024">
        <v>10399</v>
      </c>
      <c r="B42" s="1019" t="s">
        <v>128</v>
      </c>
      <c r="C42" s="1020">
        <f>IFERROR(C40+C41,0)</f>
        <v>0</v>
      </c>
      <c r="D42" s="1021">
        <f>D40+D41</f>
        <v>0</v>
      </c>
      <c r="E42" s="2032"/>
      <c r="F42" s="2033"/>
      <c r="G42" s="2033"/>
      <c r="H42" s="2033"/>
      <c r="I42" s="1022"/>
    </row>
    <row r="43" spans="1:9" ht="15" thickBot="1" x14ac:dyDescent="0.4">
      <c r="A43" s="27"/>
      <c r="B43" s="11"/>
      <c r="C43" s="1014"/>
      <c r="D43" s="1023"/>
      <c r="E43" s="2030"/>
      <c r="F43" s="2031"/>
      <c r="G43" s="2031"/>
      <c r="H43" s="2031"/>
      <c r="I43" s="1016"/>
    </row>
    <row r="44" spans="1:9" ht="15" thickBot="1" x14ac:dyDescent="0.4">
      <c r="A44" s="1024">
        <v>19999</v>
      </c>
      <c r="B44" s="1019" t="s">
        <v>129</v>
      </c>
      <c r="C44" s="1020">
        <f>C26+C33+C42</f>
        <v>0</v>
      </c>
      <c r="D44" s="1021">
        <f>D26+D33+D42</f>
        <v>0</v>
      </c>
      <c r="E44" s="2032"/>
      <c r="F44" s="2033"/>
      <c r="G44" s="2033"/>
      <c r="H44" s="2033"/>
      <c r="I44" s="1022"/>
    </row>
    <row r="45" spans="1:9" x14ac:dyDescent="0.35">
      <c r="A45" s="27"/>
      <c r="B45" s="674" t="s">
        <v>130</v>
      </c>
      <c r="C45" s="1014"/>
      <c r="D45" s="1023"/>
      <c r="E45" s="2030"/>
      <c r="F45" s="2031"/>
      <c r="G45" s="2031"/>
      <c r="H45" s="2031"/>
      <c r="I45" s="1016"/>
    </row>
    <row r="46" spans="1:9" x14ac:dyDescent="0.35">
      <c r="A46" s="27"/>
      <c r="B46" s="938" t="s">
        <v>131</v>
      </c>
      <c r="C46" s="1014"/>
      <c r="D46" s="1023"/>
      <c r="E46" s="2030"/>
      <c r="F46" s="2031"/>
      <c r="G46" s="2031"/>
      <c r="H46" s="2031"/>
      <c r="I46" s="1016"/>
    </row>
    <row r="47" spans="1:9" x14ac:dyDescent="0.35">
      <c r="A47" s="660" t="s">
        <v>132</v>
      </c>
      <c r="B47" s="659" t="s">
        <v>133</v>
      </c>
      <c r="C47" s="1014" cm="1">
        <f t="array" ref="C47">IF($C$13="mm/dd/yyyy",0,_xlfn.XLOOKUP($C$13,'FS-Balance Sheet 3.04'!$C$5:$F$5,_xlfn.XLOOKUP(A47,'FS-Balance Sheet 3.04'!$A$9:$A$150,'FS-Balance Sheet 3.04'!$C$9:$F$150),"Manual Entry"))</f>
        <v>0</v>
      </c>
      <c r="D47" s="1015" cm="1">
        <f t="array" ref="D47">IF($D$13="mm/dd/yyyy",0,_xlfn.XLOOKUP($D$13,'FS-Balance Sheet 3.04'!$C$5:$F$5,_xlfn.XLOOKUP(A47,'FS-Balance Sheet 3.04'!$A$9:$A$150,'FS-Balance Sheet 3.04'!$C$9:$F$150)))</f>
        <v>0</v>
      </c>
      <c r="E47" s="2030">
        <f t="shared" ref="E47" si="21">IF(C47="Manual Entry",0,D47-C47)</f>
        <v>0</v>
      </c>
      <c r="F47" s="2031">
        <f t="shared" ref="F47" si="22">IF(OR(AND(C47=0,D47=0),C47="Manual Entry"),0%,IF(AND(C47=0,D47&lt;&gt;0),100%,IF(C47&lt;0,(D47+ABS(C47))/ABS(C47),D47/C47-1)))</f>
        <v>0</v>
      </c>
      <c r="G47" s="2031">
        <f>IF(OR(C47=0,C47="Manual Entry"),0,C47/$C$64)</f>
        <v>0</v>
      </c>
      <c r="H47" s="2031">
        <f>IF(D47=0,0,D47/$D$64)</f>
        <v>0</v>
      </c>
      <c r="I47" s="1016" t="str">
        <f>IF(OR(AND(F47&gt;=5%,G47&gt;=5%),AND(F47&gt;=5%,H47&gt;=5%),AND(F47&lt;=-5%,G47&lt;=-5%),AND(F47&lt;=-5%,H47&lt;=-5%),AND(F47&lt;=-5%,G47&gt;=5%),AND(F47&lt;=-5%,H47&gt;=5%),AND(F47&gt;=5%,G47&lt;=-5%),AND(F47&gt;=5%,H47&lt;=-5%)),"Yes","No")</f>
        <v>No</v>
      </c>
    </row>
    <row r="48" spans="1:9" x14ac:dyDescent="0.35">
      <c r="A48" s="660" t="s">
        <v>134</v>
      </c>
      <c r="B48" s="659" t="s">
        <v>135</v>
      </c>
      <c r="C48" s="1014" cm="1">
        <f t="array" ref="C48">IF($C$13="mm/dd/yyyy",0,_xlfn.XLOOKUP($C$13,'FS-Balance Sheet 3.04'!$C$5:$F$5,_xlfn.XLOOKUP(A48,'FS-Balance Sheet 3.04'!$A$9:$A$150,'FS-Balance Sheet 3.04'!$C$9:$F$150),"Manual Entry"))</f>
        <v>0</v>
      </c>
      <c r="D48" s="1015" cm="1">
        <f t="array" ref="D48">IF($D$13="mm/dd/yyyy",0,_xlfn.XLOOKUP($D$13,'FS-Balance Sheet 3.04'!$C$5:$F$5,_xlfn.XLOOKUP(A48,'FS-Balance Sheet 3.04'!$A$9:$A$150,'FS-Balance Sheet 3.04'!$C$9:$F$150)))</f>
        <v>0</v>
      </c>
      <c r="E48" s="2030">
        <f t="shared" ref="E48:E56" si="23">IF(C48="Manual Entry",0,D48-C48)</f>
        <v>0</v>
      </c>
      <c r="F48" s="2031">
        <f t="shared" ref="F48:F56" si="24">IF(OR(AND(C48=0,D48=0),C48="Manual Entry"),0%,IF(AND(C48=0,D48&lt;&gt;0),100%,IF(C48&lt;0,(D48+ABS(C48))/ABS(C48),D48/C48-1)))</f>
        <v>0</v>
      </c>
      <c r="G48" s="2031">
        <f t="shared" ref="G48:G56" si="25">IF(OR(C48=0,C48="Manual Entry"),0,C48/$C$64)</f>
        <v>0</v>
      </c>
      <c r="H48" s="2031">
        <f t="shared" ref="H48:H56" si="26">IF(D48=0,0,D48/$D$64)</f>
        <v>0</v>
      </c>
      <c r="I48" s="1016" t="str">
        <f t="shared" ref="I48:I56" si="27">IF(OR(AND(F48&gt;=5%,G48&gt;=5%),AND(F48&gt;=5%,H48&gt;=5%),AND(F48&lt;=-5%,G48&lt;=-5%),AND(F48&lt;=-5%,H48&lt;=-5%),AND(F48&lt;=-5%,G48&gt;=5%),AND(F48&lt;=-5%,H48&gt;=5%),AND(F48&gt;=5%,G48&lt;=-5%),AND(F48&gt;=5%,H48&lt;=-5%)),"Yes","No")</f>
        <v>No</v>
      </c>
    </row>
    <row r="49" spans="1:9" x14ac:dyDescent="0.35">
      <c r="A49" s="660" t="s">
        <v>136</v>
      </c>
      <c r="B49" s="659" t="s">
        <v>137</v>
      </c>
      <c r="C49" s="1014" cm="1">
        <f t="array" ref="C49">IF($C$13="mm/dd/yyyy",0,_xlfn.XLOOKUP($C$13,'FS-Balance Sheet 3.04'!$C$5:$F$5,_xlfn.XLOOKUP(A49,'FS-Balance Sheet 3.04'!$A$9:$A$150,'FS-Balance Sheet 3.04'!$C$9:$F$150),"Manual Entry"))</f>
        <v>0</v>
      </c>
      <c r="D49" s="1015" cm="1">
        <f t="array" ref="D49">IF($D$13="mm/dd/yyyy",0,_xlfn.XLOOKUP($D$13,'FS-Balance Sheet 3.04'!$C$5:$F$5,_xlfn.XLOOKUP(A49,'FS-Balance Sheet 3.04'!$A$9:$A$150,'FS-Balance Sheet 3.04'!$C$9:$F$150)))</f>
        <v>0</v>
      </c>
      <c r="E49" s="2030">
        <f t="shared" si="23"/>
        <v>0</v>
      </c>
      <c r="F49" s="2031">
        <f t="shared" si="24"/>
        <v>0</v>
      </c>
      <c r="G49" s="2031">
        <f t="shared" si="25"/>
        <v>0</v>
      </c>
      <c r="H49" s="2031">
        <f t="shared" si="26"/>
        <v>0</v>
      </c>
      <c r="I49" s="1016" t="str">
        <f t="shared" si="27"/>
        <v>No</v>
      </c>
    </row>
    <row r="50" spans="1:9" x14ac:dyDescent="0.35">
      <c r="A50" s="660" t="s">
        <v>138</v>
      </c>
      <c r="B50" s="659" t="s">
        <v>139</v>
      </c>
      <c r="C50" s="1014" cm="1">
        <f t="array" ref="C50">IF($C$13="mm/dd/yyyy",0,_xlfn.XLOOKUP($C$13,'FS-Balance Sheet 3.04'!$C$5:$F$5,_xlfn.XLOOKUP(A50,'FS-Balance Sheet 3.04'!$A$9:$A$150,'FS-Balance Sheet 3.04'!$C$9:$F$150),"Manual Entry"))</f>
        <v>0</v>
      </c>
      <c r="D50" s="1015" cm="1">
        <f t="array" ref="D50">IF($D$13="mm/dd/yyyy",0,_xlfn.XLOOKUP($D$13,'FS-Balance Sheet 3.04'!$C$5:$F$5,_xlfn.XLOOKUP(A50,'FS-Balance Sheet 3.04'!$A$9:$A$150,'FS-Balance Sheet 3.04'!$C$9:$F$150)))</f>
        <v>0</v>
      </c>
      <c r="E50" s="2037"/>
      <c r="F50" s="2038"/>
      <c r="G50" s="2038"/>
      <c r="H50" s="2038"/>
      <c r="I50" s="1028"/>
    </row>
    <row r="51" spans="1:9" x14ac:dyDescent="0.35">
      <c r="A51" s="660" t="s">
        <v>140</v>
      </c>
      <c r="B51" s="659" t="s">
        <v>141</v>
      </c>
      <c r="C51" s="1029">
        <f>SUM(C50)</f>
        <v>0</v>
      </c>
      <c r="D51" s="1030">
        <f>SUM(D50)</f>
        <v>0</v>
      </c>
      <c r="E51" s="2037"/>
      <c r="F51" s="2038"/>
      <c r="G51" s="2038"/>
      <c r="H51" s="2038"/>
      <c r="I51" s="1028"/>
    </row>
    <row r="52" spans="1:9" x14ac:dyDescent="0.35">
      <c r="A52" s="660" t="s">
        <v>142</v>
      </c>
      <c r="B52" s="659" t="s">
        <v>143</v>
      </c>
      <c r="C52" s="1014" cm="1">
        <f t="array" ref="C52">IF($C$13="mm/dd/yyyy",0,_xlfn.XLOOKUP($C$13,'FS-Balance Sheet 3.04'!$C$5:$F$5,_xlfn.XLOOKUP(A52,'FS-Balance Sheet 3.04'!$A$9:$A$150,'FS-Balance Sheet 3.04'!$C$9:$F$150),"Manual Entry"))</f>
        <v>0</v>
      </c>
      <c r="D52" s="1015" cm="1">
        <f t="array" ref="D52">IF($D$13="mm/dd/yyyy",0,_xlfn.XLOOKUP($D$13,'FS-Balance Sheet 3.04'!$C$5:$F$5,_xlfn.XLOOKUP(A52,'FS-Balance Sheet 3.04'!$A$9:$A$150,'FS-Balance Sheet 3.04'!$C$9:$F$150)))</f>
        <v>0</v>
      </c>
      <c r="E52" s="2030">
        <f t="shared" si="23"/>
        <v>0</v>
      </c>
      <c r="F52" s="2031">
        <f t="shared" si="24"/>
        <v>0</v>
      </c>
      <c r="G52" s="2031">
        <f t="shared" si="25"/>
        <v>0</v>
      </c>
      <c r="H52" s="2031">
        <f t="shared" si="26"/>
        <v>0</v>
      </c>
      <c r="I52" s="1016" t="str">
        <f t="shared" si="27"/>
        <v>No</v>
      </c>
    </row>
    <row r="53" spans="1:9" x14ac:dyDescent="0.35">
      <c r="A53" s="660" t="s">
        <v>144</v>
      </c>
      <c r="B53" s="659" t="s">
        <v>145</v>
      </c>
      <c r="C53" s="1014" cm="1">
        <f t="array" ref="C53">IF($C$13="mm/dd/yyyy",0,_xlfn.XLOOKUP($C$13,'FS-Balance Sheet 3.04'!$C$5:$F$5,_xlfn.XLOOKUP(A53,'FS-Balance Sheet 3.04'!$A$9:$A$150,'FS-Balance Sheet 3.04'!$C$9:$F$150),"Manual Entry"))</f>
        <v>0</v>
      </c>
      <c r="D53" s="1015" cm="1">
        <f t="array" ref="D53">IF($D$13="mm/dd/yyyy",0,_xlfn.XLOOKUP($D$13,'FS-Balance Sheet 3.04'!$C$5:$F$5,_xlfn.XLOOKUP(A53,'FS-Balance Sheet 3.04'!$A$9:$A$150,'FS-Balance Sheet 3.04'!$C$9:$F$150)))</f>
        <v>0</v>
      </c>
      <c r="E53" s="2030">
        <f t="shared" si="23"/>
        <v>0</v>
      </c>
      <c r="F53" s="2031">
        <f t="shared" si="24"/>
        <v>0</v>
      </c>
      <c r="G53" s="2031">
        <f t="shared" si="25"/>
        <v>0</v>
      </c>
      <c r="H53" s="2031">
        <f t="shared" si="26"/>
        <v>0</v>
      </c>
      <c r="I53" s="1016" t="str">
        <f t="shared" si="27"/>
        <v>No</v>
      </c>
    </row>
    <row r="54" spans="1:9" x14ac:dyDescent="0.35">
      <c r="A54" s="660" t="s">
        <v>146</v>
      </c>
      <c r="B54" s="659" t="s">
        <v>147</v>
      </c>
      <c r="C54" s="1014" cm="1">
        <f t="array" ref="C54">IF($C$13="mm/dd/yyyy",0,_xlfn.XLOOKUP($C$13,'FS-Balance Sheet 3.04'!$C$5:$F$5,_xlfn.XLOOKUP(A54,'FS-Balance Sheet 3.04'!$A$9:$A$150,'FS-Balance Sheet 3.04'!$C$9:$F$150),"Manual Entry"))</f>
        <v>0</v>
      </c>
      <c r="D54" s="1015" cm="1">
        <f t="array" ref="D54">IF($D$13="mm/dd/yyyy",0,_xlfn.XLOOKUP($D$13,'FS-Balance Sheet 3.04'!$C$5:$F$5,_xlfn.XLOOKUP(A54,'FS-Balance Sheet 3.04'!$A$9:$A$150,'FS-Balance Sheet 3.04'!$C$9:$F$150)))</f>
        <v>0</v>
      </c>
      <c r="E54" s="2030">
        <f t="shared" si="23"/>
        <v>0</v>
      </c>
      <c r="F54" s="2031">
        <f t="shared" si="24"/>
        <v>0</v>
      </c>
      <c r="G54" s="2031">
        <f t="shared" si="25"/>
        <v>0</v>
      </c>
      <c r="H54" s="2031">
        <f t="shared" si="26"/>
        <v>0</v>
      </c>
      <c r="I54" s="1016" t="str">
        <f t="shared" si="27"/>
        <v>No</v>
      </c>
    </row>
    <row r="55" spans="1:9" x14ac:dyDescent="0.35">
      <c r="A55" s="660" t="s">
        <v>148</v>
      </c>
      <c r="B55" s="664" t="s">
        <v>149</v>
      </c>
      <c r="C55" s="1014" cm="1">
        <f t="array" ref="C55">IF($C$13="mm/dd/yyyy",0,_xlfn.XLOOKUP($C$13,'FS-Balance Sheet 3.04'!$C$5:$F$5,_xlfn.XLOOKUP(A55,'FS-Balance Sheet 3.04'!$A$9:$A$150,'FS-Balance Sheet 3.04'!$C$9:$F$150),"Manual Entry"))</f>
        <v>0</v>
      </c>
      <c r="D55" s="1015" cm="1">
        <f t="array" ref="D55">IF($D$13="mm/dd/yyyy",0,_xlfn.XLOOKUP($D$13,'FS-Balance Sheet 3.04'!$C$5:$F$5,_xlfn.XLOOKUP(A55,'FS-Balance Sheet 3.04'!$A$9:$A$150,'FS-Balance Sheet 3.04'!$C$9:$F$150)))</f>
        <v>0</v>
      </c>
      <c r="E55" s="2030">
        <f t="shared" si="23"/>
        <v>0</v>
      </c>
      <c r="F55" s="2031">
        <f t="shared" si="24"/>
        <v>0</v>
      </c>
      <c r="G55" s="2031">
        <f t="shared" si="25"/>
        <v>0</v>
      </c>
      <c r="H55" s="2031">
        <f t="shared" si="26"/>
        <v>0</v>
      </c>
      <c r="I55" s="1016" t="str">
        <f t="shared" si="27"/>
        <v>No</v>
      </c>
    </row>
    <row r="56" spans="1:9" ht="15" thickBot="1" x14ac:dyDescent="0.4">
      <c r="A56" s="660" t="s">
        <v>150</v>
      </c>
      <c r="B56" s="659" t="s">
        <v>151</v>
      </c>
      <c r="C56" s="1014" cm="1">
        <f t="array" ref="C56">IF($C$13="mm/dd/yyyy",0,_xlfn.XLOOKUP($C$13,'FS-Balance Sheet 3.04'!$C$5:$F$5,_xlfn.XLOOKUP(A56,'FS-Balance Sheet 3.04'!$A$9:$A$150,'FS-Balance Sheet 3.04'!$C$9:$F$150),"Manual Entry"))</f>
        <v>0</v>
      </c>
      <c r="D56" s="1015" cm="1">
        <f t="array" ref="D56">IF($D$13="mm/dd/yyyy",0,_xlfn.XLOOKUP($D$13,'FS-Balance Sheet 3.04'!$C$5:$F$5,_xlfn.XLOOKUP(A56,'FS-Balance Sheet 3.04'!$A$9:$A$150,'FS-Balance Sheet 3.04'!$C$9:$F$150)))</f>
        <v>0</v>
      </c>
      <c r="E56" s="2030">
        <f t="shared" si="23"/>
        <v>0</v>
      </c>
      <c r="F56" s="2031">
        <f t="shared" si="24"/>
        <v>0</v>
      </c>
      <c r="G56" s="2031">
        <f t="shared" si="25"/>
        <v>0</v>
      </c>
      <c r="H56" s="2031">
        <f t="shared" si="26"/>
        <v>0</v>
      </c>
      <c r="I56" s="1016" t="str">
        <f t="shared" si="27"/>
        <v>No</v>
      </c>
    </row>
    <row r="57" spans="1:9" ht="15" thickBot="1" x14ac:dyDescent="0.4">
      <c r="A57" s="1018">
        <v>20199</v>
      </c>
      <c r="B57" s="1019" t="s">
        <v>152</v>
      </c>
      <c r="C57" s="1020">
        <f>SUM(C47:C49)+SUM(C51:C56)</f>
        <v>0</v>
      </c>
      <c r="D57" s="1021">
        <f>SUM(D47:D49)+SUM(D51:D56)</f>
        <v>0</v>
      </c>
      <c r="E57" s="2032"/>
      <c r="F57" s="2033"/>
      <c r="G57" s="2033"/>
      <c r="H57" s="2033"/>
      <c r="I57" s="1022"/>
    </row>
    <row r="58" spans="1:9" x14ac:dyDescent="0.35">
      <c r="A58" s="27"/>
      <c r="B58" s="938" t="s">
        <v>62</v>
      </c>
      <c r="C58" s="1014"/>
      <c r="D58" s="1023"/>
      <c r="E58" s="2030"/>
      <c r="F58" s="2031"/>
      <c r="G58" s="2031"/>
      <c r="H58" s="2031"/>
      <c r="I58" s="1016"/>
    </row>
    <row r="59" spans="1:9" x14ac:dyDescent="0.35">
      <c r="A59" s="660" t="s">
        <v>153</v>
      </c>
      <c r="B59" s="664" t="s">
        <v>154</v>
      </c>
      <c r="C59" s="1014" cm="1">
        <f t="array" ref="C59">IF($C$13="mm/dd/yyyy",0,_xlfn.XLOOKUP($C$13,'FS-Balance Sheet 3.04'!$C$5:$F$5,_xlfn.XLOOKUP(A59,'FS-Balance Sheet 3.04'!$A$9:$A$150,'FS-Balance Sheet 3.04'!$C$9:$F$150),"Manual Entry"))</f>
        <v>0</v>
      </c>
      <c r="D59" s="1015" cm="1">
        <f t="array" ref="D59">IF($D$13="mm/dd/yyyy",0,_xlfn.XLOOKUP($D$13,'FS-Balance Sheet 3.04'!$C$5:$F$5,_xlfn.XLOOKUP(A59,'FS-Balance Sheet 3.04'!$A$9:$A$150,'FS-Balance Sheet 3.04'!$C$9:$F$150)))</f>
        <v>0</v>
      </c>
      <c r="E59" s="2030">
        <f t="shared" ref="E59:E61" si="28">IF(C59="Manual Entry",0,D59-C59)</f>
        <v>0</v>
      </c>
      <c r="F59" s="2031">
        <f t="shared" ref="F59:F61" si="29">IF(OR(AND(C59=0,D59=0),C59="Manual Entry"),0%,IF(AND(C59=0,D59&lt;&gt;0),100%,IF(C59&lt;0,(D59+ABS(C59))/ABS(C59),D59/C59-1)))</f>
        <v>0</v>
      </c>
      <c r="G59" s="2031">
        <f t="shared" ref="G59:G61" si="30">IF(OR(C59=0,C59="Manual Entry"),0,C59/$C$64)</f>
        <v>0</v>
      </c>
      <c r="H59" s="2031">
        <f t="shared" ref="H59:H61" si="31">IF(D59=0,0,D59/$D$64)</f>
        <v>0</v>
      </c>
      <c r="I59" s="1016" t="str">
        <f t="shared" ref="I59:I61" si="32">IF(OR(AND(F59&gt;=5%,G59&gt;=5%),AND(F59&gt;=5%,H59&gt;=5%),AND(F59&lt;=-5%,G59&lt;=-5%),AND(F59&lt;=-5%,H59&lt;=-5%),AND(F59&lt;=-5%,G59&gt;=5%),AND(F59&lt;=-5%,H59&gt;=5%),AND(F59&gt;=5%,G59&lt;=-5%),AND(F59&gt;=5%,H59&lt;=-5%)),"Yes","No")</f>
        <v>No</v>
      </c>
    </row>
    <row r="60" spans="1:9" x14ac:dyDescent="0.35">
      <c r="A60" s="660" t="s">
        <v>155</v>
      </c>
      <c r="B60" s="664" t="s">
        <v>156</v>
      </c>
      <c r="C60" s="1014" cm="1">
        <f t="array" ref="C60">IF($C$13="mm/dd/yyyy",0,_xlfn.XLOOKUP($C$13,'FS-Balance Sheet 3.04'!$C$5:$F$5,_xlfn.XLOOKUP(A60,'FS-Balance Sheet 3.04'!$A$9:$A$150,'FS-Balance Sheet 3.04'!$C$9:$F$150),"Manual Entry"))</f>
        <v>0</v>
      </c>
      <c r="D60" s="1015" cm="1">
        <f t="array" ref="D60">IF($D$13="mm/dd/yyyy",0,_xlfn.XLOOKUP($D$13,'FS-Balance Sheet 3.04'!$C$5:$F$5,_xlfn.XLOOKUP(A60,'FS-Balance Sheet 3.04'!$A$9:$A$150,'FS-Balance Sheet 3.04'!$C$9:$F$150)))</f>
        <v>0</v>
      </c>
      <c r="E60" s="2030">
        <f t="shared" si="28"/>
        <v>0</v>
      </c>
      <c r="F60" s="2031">
        <f t="shared" si="29"/>
        <v>0</v>
      </c>
      <c r="G60" s="2031">
        <f t="shared" si="30"/>
        <v>0</v>
      </c>
      <c r="H60" s="2031">
        <f t="shared" si="31"/>
        <v>0</v>
      </c>
      <c r="I60" s="1016" t="str">
        <f t="shared" si="32"/>
        <v>No</v>
      </c>
    </row>
    <row r="61" spans="1:9" ht="15" thickBot="1" x14ac:dyDescent="0.4">
      <c r="A61" s="660" t="s">
        <v>157</v>
      </c>
      <c r="B61" s="659" t="s">
        <v>158</v>
      </c>
      <c r="C61" s="1014" cm="1">
        <f t="array" ref="C61">IF($C$13="mm/dd/yyyy",0,_xlfn.XLOOKUP($C$13,'FS-Balance Sheet 3.04'!$C$5:$F$5,_xlfn.XLOOKUP(A61,'FS-Balance Sheet 3.04'!$A$9:$A$150,'FS-Balance Sheet 3.04'!$C$9:$F$150),"Manual Entry"))</f>
        <v>0</v>
      </c>
      <c r="D61" s="1015" cm="1">
        <f t="array" ref="D61">IF($D$13="mm/dd/yyyy",0,_xlfn.XLOOKUP($D$13,'FS-Balance Sheet 3.04'!$C$5:$F$5,_xlfn.XLOOKUP(A61,'FS-Balance Sheet 3.04'!$A$9:$A$150,'FS-Balance Sheet 3.04'!$C$9:$F$150)))</f>
        <v>0</v>
      </c>
      <c r="E61" s="2030">
        <f t="shared" si="28"/>
        <v>0</v>
      </c>
      <c r="F61" s="2031">
        <f t="shared" si="29"/>
        <v>0</v>
      </c>
      <c r="G61" s="2031">
        <f t="shared" si="30"/>
        <v>0</v>
      </c>
      <c r="H61" s="2031">
        <f t="shared" si="31"/>
        <v>0</v>
      </c>
      <c r="I61" s="1016" t="str">
        <f t="shared" si="32"/>
        <v>No</v>
      </c>
    </row>
    <row r="62" spans="1:9" ht="15" thickBot="1" x14ac:dyDescent="0.4">
      <c r="A62" s="1018">
        <v>20299</v>
      </c>
      <c r="B62" s="1019" t="s">
        <v>159</v>
      </c>
      <c r="C62" s="1020">
        <f>SUM(C59:C61)</f>
        <v>0</v>
      </c>
      <c r="D62" s="1021">
        <f>SUM(D59:D61)</f>
        <v>0</v>
      </c>
      <c r="E62" s="2032"/>
      <c r="F62" s="2033"/>
      <c r="G62" s="2033"/>
      <c r="H62" s="2033"/>
      <c r="I62" s="1022"/>
    </row>
    <row r="63" spans="1:9" ht="15" thickBot="1" x14ac:dyDescent="0.4">
      <c r="A63" s="27"/>
      <c r="B63" s="21"/>
      <c r="C63" s="1014"/>
      <c r="D63" s="1023"/>
      <c r="E63" s="2030"/>
      <c r="F63" s="2031"/>
      <c r="G63" s="2031"/>
      <c r="H63" s="2031"/>
      <c r="I63" s="1016"/>
    </row>
    <row r="64" spans="1:9" ht="15" thickBot="1" x14ac:dyDescent="0.4">
      <c r="A64" s="1024">
        <v>29999</v>
      </c>
      <c r="B64" s="1019" t="s">
        <v>160</v>
      </c>
      <c r="C64" s="1020">
        <f>C57+C62</f>
        <v>0</v>
      </c>
      <c r="D64" s="1021">
        <f>D57+D62</f>
        <v>0</v>
      </c>
      <c r="E64" s="2032"/>
      <c r="F64" s="2033"/>
      <c r="G64" s="2033"/>
      <c r="H64" s="2033"/>
      <c r="I64" s="1022"/>
    </row>
    <row r="65" spans="1:9" x14ac:dyDescent="0.35">
      <c r="A65" s="27"/>
      <c r="B65" s="674" t="s">
        <v>161</v>
      </c>
      <c r="C65" s="1014"/>
      <c r="D65" s="1023"/>
      <c r="E65" s="2030"/>
      <c r="F65" s="2031"/>
      <c r="G65" s="2031"/>
      <c r="H65" s="2031"/>
      <c r="I65" s="1016"/>
    </row>
    <row r="66" spans="1:9" x14ac:dyDescent="0.35">
      <c r="A66" s="660" t="s">
        <v>162</v>
      </c>
      <c r="B66" s="659" t="s">
        <v>163</v>
      </c>
      <c r="C66" s="1014" cm="1">
        <f t="array" ref="C66">IF($C$13="mm/dd/yyyy",0,_xlfn.XLOOKUP($C$13,'FS-Balance Sheet 3.04'!$C$5:$F$5,_xlfn.XLOOKUP(A66,'FS-Balance Sheet 3.04'!$A$9:$A$150,'FS-Balance Sheet 3.04'!$C$9:$F$150),"Manual Entry"))</f>
        <v>0</v>
      </c>
      <c r="D66" s="1015" cm="1">
        <f t="array" ref="D66">IF($D$13="mm/dd/yyyy",0,_xlfn.XLOOKUP($D$13,'FS-Balance Sheet 3.04'!$C$5:$F$5,_xlfn.XLOOKUP(A66,'FS-Balance Sheet 3.04'!$A$9:$A$150,'FS-Balance Sheet 3.04'!$C$9:$F$150)))</f>
        <v>0</v>
      </c>
      <c r="E66" s="2030">
        <f t="shared" ref="E66" si="33">IF(C66="Manual Entry",0,D66-C66)</f>
        <v>0</v>
      </c>
      <c r="F66" s="2031">
        <f t="shared" ref="F66" si="34">IF(OR(AND(C66=0,D66=0),C66="Manual Entry"),0%,IF(AND(C66=0,D66&lt;&gt;0),100%,IF(C66&lt;0,(D66+ABS(C66))/ABS(C66),D66/C66-1)))</f>
        <v>0</v>
      </c>
      <c r="G66" s="2031">
        <f>IF(OR(C66=0,C66="Manual Entry"),0,C66/$C$78)</f>
        <v>0</v>
      </c>
      <c r="H66" s="2031">
        <f>IF(D66=0,0,D66/$D$78)</f>
        <v>0</v>
      </c>
      <c r="I66" s="1016" t="str">
        <f t="shared" ref="I66" si="35">IF(OR(AND(F66&gt;=5%,G66&gt;=5%),AND(F66&gt;=5%,H66&gt;=5%),AND(F66&lt;=-5%,G66&lt;=-5%),AND(F66&lt;=-5%,H66&lt;=-5%),AND(F66&lt;=-5%,G66&gt;=5%),AND(F66&lt;=-5%,H66&gt;=5%),AND(F66&gt;=5%,G66&lt;=-5%),AND(F66&gt;=5%,H66&lt;=-5%)),"Yes","No")</f>
        <v>No</v>
      </c>
    </row>
    <row r="67" spans="1:9" x14ac:dyDescent="0.35">
      <c r="A67" s="660" t="s">
        <v>164</v>
      </c>
      <c r="B67" s="659" t="s">
        <v>165</v>
      </c>
      <c r="C67" s="1014" cm="1">
        <f t="array" ref="C67">IF($C$13="mm/dd/yyyy",0,_xlfn.XLOOKUP($C$13,'FS-Balance Sheet 3.04'!$C$5:$F$5,_xlfn.XLOOKUP(A67,'FS-Balance Sheet 3.04'!$A$9:$A$150,'FS-Balance Sheet 3.04'!$C$9:$F$150),"Manual Entry"))</f>
        <v>0</v>
      </c>
      <c r="D67" s="1015" cm="1">
        <f t="array" ref="D67">IF($D$13="mm/dd/yyyy",0,_xlfn.XLOOKUP($D$13,'FS-Balance Sheet 3.04'!$C$5:$F$5,_xlfn.XLOOKUP(A67,'FS-Balance Sheet 3.04'!$A$9:$A$150,'FS-Balance Sheet 3.04'!$C$9:$F$150)))</f>
        <v>0</v>
      </c>
      <c r="E67" s="2030">
        <f t="shared" ref="E67:E71" si="36">IF(C67="Manual Entry",0,D67-C67)</f>
        <v>0</v>
      </c>
      <c r="F67" s="2031">
        <f t="shared" ref="F67:F71" si="37">IF(OR(AND(C67=0,D67=0),C67="Manual Entry"),0%,IF(AND(C67=0,D67&lt;&gt;0),100%,IF(C67&lt;0,(D67+ABS(C67))/ABS(C67),D67/C67-1)))</f>
        <v>0</v>
      </c>
      <c r="G67" s="2031">
        <f t="shared" ref="G67:G71" si="38">IF(OR(C67=0,C67="Manual Entry"),0,C67/$C$78)</f>
        <v>0</v>
      </c>
      <c r="H67" s="2031">
        <f t="shared" ref="H67:H71" si="39">IF(D67=0,0,D67/$D$78)</f>
        <v>0</v>
      </c>
      <c r="I67" s="1016" t="str">
        <f t="shared" ref="I67:I76" si="40">IF(OR(AND(F67&gt;=5%,G67&gt;=5%),AND(F67&gt;=5%,H67&gt;=5%),AND(F67&lt;=-5%,G67&lt;=-5%),AND(F67&lt;=-5%,H67&lt;=-5%),AND(F67&lt;=-5%,G67&gt;=5%),AND(F67&lt;=-5%,H67&gt;=5%),AND(F67&gt;=5%,G67&lt;=-5%),AND(F67&gt;=5%,H67&lt;=-5%)),"Yes","No")</f>
        <v>No</v>
      </c>
    </row>
    <row r="68" spans="1:9" x14ac:dyDescent="0.35">
      <c r="A68" s="660" t="s">
        <v>166</v>
      </c>
      <c r="B68" s="659" t="s">
        <v>167</v>
      </c>
      <c r="C68" s="1014" cm="1">
        <f t="array" ref="C68">IF($C$13="mm/dd/yyyy",0,_xlfn.XLOOKUP($C$13,'FS-Balance Sheet 3.04'!$C$5:$F$5,_xlfn.XLOOKUP(A68,'FS-Balance Sheet 3.04'!$A$9:$A$150,'FS-Balance Sheet 3.04'!$C$9:$F$150),"Manual Entry"))</f>
        <v>0</v>
      </c>
      <c r="D68" s="1015" cm="1">
        <f t="array" ref="D68">IF($D$13="mm/dd/yyyy",0,_xlfn.XLOOKUP($D$13,'FS-Balance Sheet 3.04'!$C$5:$F$5,_xlfn.XLOOKUP(A68,'FS-Balance Sheet 3.04'!$A$9:$A$150,'FS-Balance Sheet 3.04'!$C$9:$F$150)))</f>
        <v>0</v>
      </c>
      <c r="E68" s="2030">
        <f t="shared" si="36"/>
        <v>0</v>
      </c>
      <c r="F68" s="2031">
        <f t="shared" si="37"/>
        <v>0</v>
      </c>
      <c r="G68" s="2031">
        <f t="shared" si="38"/>
        <v>0</v>
      </c>
      <c r="H68" s="2031">
        <f t="shared" si="39"/>
        <v>0</v>
      </c>
      <c r="I68" s="1016" t="str">
        <f t="shared" si="40"/>
        <v>No</v>
      </c>
    </row>
    <row r="69" spans="1:9" x14ac:dyDescent="0.35">
      <c r="A69" s="660" t="s">
        <v>168</v>
      </c>
      <c r="B69" s="659" t="s">
        <v>169</v>
      </c>
      <c r="C69" s="1014" cm="1">
        <f t="array" ref="C69">IF($C$13="mm/dd/yyyy",0,_xlfn.XLOOKUP($C$13,'FS-Balance Sheet 3.04'!$C$5:$F$5,_xlfn.XLOOKUP(A69,'FS-Balance Sheet 3.04'!$A$9:$A$150,'FS-Balance Sheet 3.04'!$C$9:$F$150),"Manual Entry"))</f>
        <v>0</v>
      </c>
      <c r="D69" s="1015" cm="1">
        <f t="array" ref="D69">IF($D$13="mm/dd/yyyy",0,_xlfn.XLOOKUP($D$13,'FS-Balance Sheet 3.04'!$C$5:$F$5,_xlfn.XLOOKUP(A69,'FS-Balance Sheet 3.04'!$A$9:$A$150,'FS-Balance Sheet 3.04'!$C$9:$F$150)))</f>
        <v>0</v>
      </c>
      <c r="E69" s="2030">
        <f t="shared" si="36"/>
        <v>0</v>
      </c>
      <c r="F69" s="2031">
        <f t="shared" si="37"/>
        <v>0</v>
      </c>
      <c r="G69" s="2031">
        <f t="shared" si="38"/>
        <v>0</v>
      </c>
      <c r="H69" s="2031">
        <f t="shared" si="39"/>
        <v>0</v>
      </c>
      <c r="I69" s="1016" t="str">
        <f t="shared" si="40"/>
        <v>No</v>
      </c>
    </row>
    <row r="70" spans="1:9" x14ac:dyDescent="0.35">
      <c r="A70" s="660" t="s">
        <v>170</v>
      </c>
      <c r="B70" s="659" t="s">
        <v>171</v>
      </c>
      <c r="C70" s="1014" cm="1">
        <f t="array" ref="C70">IF($C$13="mm/dd/yyyy",0,_xlfn.XLOOKUP($C$13,'FS-Balance Sheet 3.04'!$C$5:$F$5,_xlfn.XLOOKUP(A70,'FS-Balance Sheet 3.04'!$A$9:$A$150,'FS-Balance Sheet 3.04'!$C$9:$F$150),"Manual Entry"))</f>
        <v>0</v>
      </c>
      <c r="D70" s="1015" cm="1">
        <f t="array" ref="D70">IF($D$13="mm/dd/yyyy",0,_xlfn.XLOOKUP($D$13,'FS-Balance Sheet 3.04'!$C$5:$F$5,_xlfn.XLOOKUP(A70,'FS-Balance Sheet 3.04'!$A$9:$A$150,'FS-Balance Sheet 3.04'!$C$9:$F$150)))</f>
        <v>0</v>
      </c>
      <c r="E70" s="2030">
        <f t="shared" si="36"/>
        <v>0</v>
      </c>
      <c r="F70" s="2031">
        <f t="shared" si="37"/>
        <v>0</v>
      </c>
      <c r="G70" s="2031">
        <f t="shared" si="38"/>
        <v>0</v>
      </c>
      <c r="H70" s="2031">
        <f t="shared" si="39"/>
        <v>0</v>
      </c>
      <c r="I70" s="1016" t="str">
        <f t="shared" si="40"/>
        <v>No</v>
      </c>
    </row>
    <row r="71" spans="1:9" x14ac:dyDescent="0.35">
      <c r="A71" s="660" t="s">
        <v>172</v>
      </c>
      <c r="B71" s="659" t="s">
        <v>173</v>
      </c>
      <c r="C71" s="1014" cm="1">
        <f t="array" ref="C71">IF($C$13="mm/dd/yyyy",0,_xlfn.XLOOKUP($C$13,'FS-Balance Sheet 3.04'!$C$5:$F$5,_xlfn.XLOOKUP(A71,'FS-Balance Sheet 3.04'!$A$9:$A$150,'FS-Balance Sheet 3.04'!$C$9:$F$150),"Manual Entry"))</f>
        <v>0</v>
      </c>
      <c r="D71" s="1015" cm="1">
        <f t="array" ref="D71">IF($D$13="mm/dd/yyyy",0,_xlfn.XLOOKUP($D$13,'FS-Balance Sheet 3.04'!$C$5:$F$5,_xlfn.XLOOKUP(A71,'FS-Balance Sheet 3.04'!$A$9:$A$150,'FS-Balance Sheet 3.04'!$C$9:$F$150)))</f>
        <v>0</v>
      </c>
      <c r="E71" s="2030">
        <f t="shared" si="36"/>
        <v>0</v>
      </c>
      <c r="F71" s="2031">
        <f t="shared" si="37"/>
        <v>0</v>
      </c>
      <c r="G71" s="2031">
        <f t="shared" si="38"/>
        <v>0</v>
      </c>
      <c r="H71" s="2031">
        <f t="shared" si="39"/>
        <v>0</v>
      </c>
      <c r="I71" s="1016" t="str">
        <f t="shared" si="40"/>
        <v>No</v>
      </c>
    </row>
    <row r="72" spans="1:9" x14ac:dyDescent="0.35">
      <c r="A72" s="670" t="s">
        <v>174</v>
      </c>
      <c r="B72" s="659" t="s">
        <v>175</v>
      </c>
      <c r="C72" s="1014" cm="1">
        <f t="array" ref="C72">IF($C$13="mm/dd/yyyy",0,_xlfn.XLOOKUP($C$13,'FS-Balance Sheet 3.04'!$C$5:$F$5,_xlfn.XLOOKUP(A72,'FS-Balance Sheet 3.04'!$A$9:$A$150,'FS-Balance Sheet 3.04'!$C$9:$F$150),"Manual Entry"))</f>
        <v>0</v>
      </c>
      <c r="D72" s="1015" cm="1">
        <f t="array" ref="D72">IF($D$13="mm/dd/yyyy",0,_xlfn.XLOOKUP($D$13,'FS-Balance Sheet 3.04'!$C$5:$F$5,_xlfn.XLOOKUP(A72,'FS-Balance Sheet 3.04'!$A$9:$A$150,'FS-Balance Sheet 3.04'!$C$9:$F$150)))</f>
        <v>0</v>
      </c>
      <c r="E72" s="2037"/>
      <c r="F72" s="2038"/>
      <c r="G72" s="2038"/>
      <c r="H72" s="2038"/>
      <c r="I72" s="1028"/>
    </row>
    <row r="73" spans="1:9" x14ac:dyDescent="0.35">
      <c r="A73" s="670" t="s">
        <v>176</v>
      </c>
      <c r="B73" s="659" t="s">
        <v>177</v>
      </c>
      <c r="C73" s="1014" cm="1">
        <f t="array" ref="C73">IF($C$13="mm/dd/yyyy",0,_xlfn.XLOOKUP($C$13,'FS-Balance Sheet 3.04'!$C$5:$F$5,_xlfn.XLOOKUP(A73,'FS-Balance Sheet 3.04'!$A$9:$A$150,'FS-Balance Sheet 3.04'!$C$9:$F$150),"Manual Entry"))</f>
        <v>0</v>
      </c>
      <c r="D73" s="1015" cm="1">
        <f t="array" ref="D73">IF($D$13="mm/dd/yyyy",0,_xlfn.XLOOKUP($D$13,'FS-Balance Sheet 3.04'!$C$5:$F$5,_xlfn.XLOOKUP(A73,'FS-Balance Sheet 3.04'!$A$9:$A$150,'FS-Balance Sheet 3.04'!$C$9:$F$150)))</f>
        <v>0</v>
      </c>
      <c r="E73" s="2037"/>
      <c r="F73" s="2038"/>
      <c r="G73" s="2038"/>
      <c r="H73" s="2038"/>
      <c r="I73" s="1028"/>
    </row>
    <row r="74" spans="1:9" x14ac:dyDescent="0.35">
      <c r="A74" s="670" t="s">
        <v>178</v>
      </c>
      <c r="B74" s="659" t="s">
        <v>179</v>
      </c>
      <c r="C74" s="1014" cm="1">
        <f t="array" ref="C74">IF($C$13="mm/dd/yyyy",0,_xlfn.XLOOKUP($C$13,'FS-Balance Sheet 3.04'!$C$5:$F$5,_xlfn.XLOOKUP(A74,'FS-Balance Sheet 3.04'!$A$9:$A$150,'FS-Balance Sheet 3.04'!$C$9:$F$150),"Manual Entry"))</f>
        <v>0</v>
      </c>
      <c r="D74" s="1015" cm="1">
        <f t="array" ref="D74">IF($D$13="mm/dd/yyyy",0,_xlfn.XLOOKUP($D$13,'FS-Balance Sheet 3.04'!$C$5:$F$5,_xlfn.XLOOKUP(A74,'FS-Balance Sheet 3.04'!$A$9:$A$150,'FS-Balance Sheet 3.04'!$C$9:$F$150)))</f>
        <v>0</v>
      </c>
      <c r="E74" s="2037"/>
      <c r="F74" s="2038"/>
      <c r="G74" s="2038"/>
      <c r="H74" s="2038"/>
      <c r="I74" s="1028"/>
    </row>
    <row r="75" spans="1:9" x14ac:dyDescent="0.35">
      <c r="A75" s="660" t="s">
        <v>180</v>
      </c>
      <c r="B75" s="659" t="s">
        <v>181</v>
      </c>
      <c r="C75" s="1025">
        <f>IFERROR(C72+C73+C74,0)</f>
        <v>0</v>
      </c>
      <c r="D75" s="1026">
        <f t="shared" ref="D75" si="41">D72+D73+D74</f>
        <v>0</v>
      </c>
      <c r="E75" s="2039"/>
      <c r="F75" s="2040"/>
      <c r="G75" s="2040"/>
      <c r="H75" s="2040"/>
      <c r="I75" s="1031"/>
    </row>
    <row r="76" spans="1:9" x14ac:dyDescent="0.35">
      <c r="A76" s="679" t="s">
        <v>182</v>
      </c>
      <c r="B76" s="680" t="s">
        <v>183</v>
      </c>
      <c r="C76" s="1014" cm="1">
        <f t="array" ref="C76">IF($C$13="mm/dd/yyyy",0,_xlfn.XLOOKUP($C$13,'FS-Balance Sheet 3.04'!$C$5:$F$5,_xlfn.XLOOKUP(A76,'FS-Balance Sheet 3.04'!$A$9:$A$150,'FS-Balance Sheet 3.04'!$C$9:$F$150),"Manual Entry"))</f>
        <v>0</v>
      </c>
      <c r="D76" s="1015" cm="1">
        <f t="array" ref="D76">IF($D$13="mm/dd/yyyy",0,_xlfn.XLOOKUP($D$13,'FS-Balance Sheet 3.04'!$C$5:$F$5,_xlfn.XLOOKUP(A76,'FS-Balance Sheet 3.04'!$A$9:$A$150,'FS-Balance Sheet 3.04'!$C$9:$F$150)))</f>
        <v>0</v>
      </c>
      <c r="E76" s="2030">
        <f t="shared" ref="E76" si="42">IF(C76="Manual Entry",0,D76-C76)</f>
        <v>0</v>
      </c>
      <c r="F76" s="2031">
        <f t="shared" ref="F76" si="43">IF(OR(AND(C76=0,D76=0),C76="Manual Entry"),0%,IF(AND(C76=0,D76&lt;&gt;0),100%,IF(C76&lt;0,(D76+ABS(C76))/ABS(C76),D76/C76-1)))</f>
        <v>0</v>
      </c>
      <c r="G76" s="2031">
        <f>IF(OR(C76=0,C76="Manual Entry"),0,C76/$C$78)</f>
        <v>0</v>
      </c>
      <c r="H76" s="2031">
        <f>IF(D76=0,0,D76/$D$78)</f>
        <v>0</v>
      </c>
      <c r="I76" s="1016" t="str">
        <f t="shared" si="40"/>
        <v>No</v>
      </c>
    </row>
    <row r="77" spans="1:9" ht="15" thickBot="1" x14ac:dyDescent="0.4">
      <c r="A77" s="679"/>
      <c r="B77" s="680"/>
      <c r="C77" s="1014"/>
      <c r="D77" s="1023"/>
      <c r="E77" s="2041"/>
      <c r="F77" s="2031"/>
      <c r="G77" s="2031"/>
      <c r="H77" s="2031"/>
      <c r="I77" s="1016"/>
    </row>
    <row r="78" spans="1:9" x14ac:dyDescent="0.35">
      <c r="A78" s="1032">
        <v>39991</v>
      </c>
      <c r="B78" s="1033" t="s">
        <v>184</v>
      </c>
      <c r="C78" s="1034">
        <f>IFERROR(SUM(C66:C71)+C75+C76,0)</f>
        <v>0</v>
      </c>
      <c r="D78" s="1035">
        <f>SUM(D66:D71)+D75+D76</f>
        <v>0</v>
      </c>
      <c r="E78" s="2042"/>
      <c r="F78" s="2043"/>
      <c r="G78" s="2043"/>
      <c r="H78" s="2043"/>
      <c r="I78" s="1036"/>
    </row>
    <row r="79" spans="1:9" ht="15" thickBot="1" x14ac:dyDescent="0.4">
      <c r="A79" s="1037">
        <v>39992</v>
      </c>
      <c r="B79" s="1038" t="s">
        <v>185</v>
      </c>
      <c r="C79" s="1039">
        <f>C64+C78</f>
        <v>0</v>
      </c>
      <c r="D79" s="1040">
        <f>D64+D78</f>
        <v>0</v>
      </c>
      <c r="E79" s="2044"/>
      <c r="F79" s="2045"/>
      <c r="G79" s="2045"/>
      <c r="H79" s="2045"/>
      <c r="I79" s="1041"/>
    </row>
    <row r="81" spans="1:9" ht="15" thickBot="1" x14ac:dyDescent="0.4">
      <c r="A81" s="1042" t="s">
        <v>566</v>
      </c>
      <c r="B81" s="2008"/>
      <c r="C81" s="2008"/>
      <c r="D81" s="2008"/>
      <c r="E81" s="2008"/>
      <c r="F81" s="2008"/>
      <c r="G81" s="2008"/>
      <c r="H81" s="2008"/>
      <c r="I81" s="2008"/>
    </row>
    <row r="82" spans="1:9" ht="15" thickBot="1" x14ac:dyDescent="0.4">
      <c r="A82" s="1505" t="s">
        <v>567</v>
      </c>
      <c r="B82" s="2238" t="s">
        <v>568</v>
      </c>
      <c r="C82" s="2239"/>
      <c r="D82" s="2239"/>
      <c r="E82" s="2239"/>
      <c r="F82" s="2239"/>
      <c r="G82" s="2239"/>
      <c r="H82" s="2239"/>
      <c r="I82" s="2240"/>
    </row>
    <row r="83" spans="1:9" ht="15" thickBot="1" x14ac:dyDescent="0.4">
      <c r="A83" s="1043" t="s">
        <v>83</v>
      </c>
      <c r="B83" s="2236"/>
      <c r="C83" s="2236"/>
      <c r="D83" s="2236"/>
      <c r="E83" s="2236"/>
      <c r="F83" s="2236"/>
      <c r="G83" s="2236"/>
      <c r="H83" s="2236"/>
      <c r="I83" s="2237"/>
    </row>
    <row r="84" spans="1:9" ht="15" thickBot="1" x14ac:dyDescent="0.4">
      <c r="A84" s="1043" t="s">
        <v>85</v>
      </c>
      <c r="B84" s="2236"/>
      <c r="C84" s="2236"/>
      <c r="D84" s="2236"/>
      <c r="E84" s="2236"/>
      <c r="F84" s="2236"/>
      <c r="G84" s="2236"/>
      <c r="H84" s="2236"/>
      <c r="I84" s="2237"/>
    </row>
    <row r="85" spans="1:9" ht="15" thickBot="1" x14ac:dyDescent="0.4">
      <c r="A85" s="1043" t="s">
        <v>87</v>
      </c>
      <c r="B85" s="2236"/>
      <c r="C85" s="2236"/>
      <c r="D85" s="2236"/>
      <c r="E85" s="2236"/>
      <c r="F85" s="2236"/>
      <c r="G85" s="2236"/>
      <c r="H85" s="2236"/>
      <c r="I85" s="2237"/>
    </row>
    <row r="86" spans="1:9" ht="15" thickBot="1" x14ac:dyDescent="0.4">
      <c r="A86" s="1043" t="s">
        <v>89</v>
      </c>
      <c r="B86" s="2236"/>
      <c r="C86" s="2236"/>
      <c r="D86" s="2236"/>
      <c r="E86" s="2236"/>
      <c r="F86" s="2236"/>
      <c r="G86" s="2236"/>
      <c r="H86" s="2236"/>
      <c r="I86" s="2237"/>
    </row>
    <row r="87" spans="1:9" ht="15" thickBot="1" x14ac:dyDescent="0.4">
      <c r="A87" s="1043" t="s">
        <v>91</v>
      </c>
      <c r="B87" s="2236"/>
      <c r="C87" s="2236"/>
      <c r="D87" s="2236"/>
      <c r="E87" s="2236"/>
      <c r="F87" s="2236"/>
      <c r="G87" s="2236"/>
      <c r="H87" s="2236"/>
      <c r="I87" s="2237"/>
    </row>
    <row r="88" spans="1:9" ht="15" thickBot="1" x14ac:dyDescent="0.4">
      <c r="A88" s="1043" t="s">
        <v>93</v>
      </c>
      <c r="B88" s="2236"/>
      <c r="C88" s="2236"/>
      <c r="D88" s="2236"/>
      <c r="E88" s="2236"/>
      <c r="F88" s="2236"/>
      <c r="G88" s="2236"/>
      <c r="H88" s="2236"/>
      <c r="I88" s="2237"/>
    </row>
    <row r="89" spans="1:9" ht="15" thickBot="1" x14ac:dyDescent="0.4">
      <c r="A89" s="1043" t="s">
        <v>95</v>
      </c>
      <c r="B89" s="2236"/>
      <c r="C89" s="2236"/>
      <c r="D89" s="2236"/>
      <c r="E89" s="2236"/>
      <c r="F89" s="2236"/>
      <c r="G89" s="2236"/>
      <c r="H89" s="2236"/>
      <c r="I89" s="2237"/>
    </row>
    <row r="90" spans="1:9" ht="15" thickBot="1" x14ac:dyDescent="0.4">
      <c r="A90" s="1043" t="s">
        <v>97</v>
      </c>
      <c r="B90" s="2236"/>
      <c r="C90" s="2236"/>
      <c r="D90" s="2236"/>
      <c r="E90" s="2236"/>
      <c r="F90" s="2236"/>
      <c r="G90" s="2236"/>
      <c r="H90" s="2236"/>
      <c r="I90" s="2237"/>
    </row>
    <row r="91" spans="1:9" ht="15" thickBot="1" x14ac:dyDescent="0.4">
      <c r="A91" s="1043" t="s">
        <v>99</v>
      </c>
      <c r="B91" s="2236"/>
      <c r="C91" s="2236"/>
      <c r="D91" s="2236"/>
      <c r="E91" s="2236"/>
      <c r="F91" s="2236"/>
      <c r="G91" s="2236"/>
      <c r="H91" s="2236"/>
      <c r="I91" s="2237"/>
    </row>
    <row r="92" spans="1:9" ht="15" thickBot="1" x14ac:dyDescent="0.4">
      <c r="A92" s="1043" t="s">
        <v>102</v>
      </c>
      <c r="B92" s="2236"/>
      <c r="C92" s="2236"/>
      <c r="D92" s="2236"/>
      <c r="E92" s="2236"/>
      <c r="F92" s="2236"/>
      <c r="G92" s="2236"/>
      <c r="H92" s="2236"/>
      <c r="I92" s="2237"/>
    </row>
    <row r="93" spans="1:9" ht="15" thickBot="1" x14ac:dyDescent="0.4">
      <c r="A93" s="1043" t="s">
        <v>104</v>
      </c>
      <c r="B93" s="2236"/>
      <c r="C93" s="2236"/>
      <c r="D93" s="2236"/>
      <c r="E93" s="2236"/>
      <c r="F93" s="2236"/>
      <c r="G93" s="2236"/>
      <c r="H93" s="2236"/>
      <c r="I93" s="2237"/>
    </row>
    <row r="94" spans="1:9" ht="15" thickBot="1" x14ac:dyDescent="0.4">
      <c r="A94" s="1043" t="s">
        <v>106</v>
      </c>
      <c r="B94" s="2236"/>
      <c r="C94" s="2236"/>
      <c r="D94" s="2236"/>
      <c r="E94" s="2236"/>
      <c r="F94" s="2236"/>
      <c r="G94" s="2236"/>
      <c r="H94" s="2236"/>
      <c r="I94" s="2237"/>
    </row>
    <row r="95" spans="1:9" ht="15" thickBot="1" x14ac:dyDescent="0.4">
      <c r="A95" s="1043" t="s">
        <v>108</v>
      </c>
      <c r="B95" s="2236"/>
      <c r="C95" s="2236"/>
      <c r="D95" s="2236"/>
      <c r="E95" s="2236"/>
      <c r="F95" s="2236"/>
      <c r="G95" s="2236"/>
      <c r="H95" s="2236"/>
      <c r="I95" s="2237"/>
    </row>
    <row r="96" spans="1:9" ht="15" thickBot="1" x14ac:dyDescent="0.4">
      <c r="A96" s="1043" t="s">
        <v>110</v>
      </c>
      <c r="B96" s="2236"/>
      <c r="C96" s="2236"/>
      <c r="D96" s="2236"/>
      <c r="E96" s="2236"/>
      <c r="F96" s="2236"/>
      <c r="G96" s="2236"/>
      <c r="H96" s="2236"/>
      <c r="I96" s="2237"/>
    </row>
    <row r="97" spans="1:9" ht="15" thickBot="1" x14ac:dyDescent="0.4">
      <c r="A97" s="1043" t="s">
        <v>114</v>
      </c>
      <c r="B97" s="2236"/>
      <c r="C97" s="2236"/>
      <c r="D97" s="2236"/>
      <c r="E97" s="2236"/>
      <c r="F97" s="2236"/>
      <c r="G97" s="2236"/>
      <c r="H97" s="2236"/>
      <c r="I97" s="2237"/>
    </row>
    <row r="98" spans="1:9" ht="15" thickBot="1" x14ac:dyDescent="0.4">
      <c r="A98" s="1043" t="s">
        <v>116</v>
      </c>
      <c r="B98" s="2236"/>
      <c r="C98" s="2236"/>
      <c r="D98" s="2236"/>
      <c r="E98" s="2236"/>
      <c r="F98" s="2236"/>
      <c r="G98" s="2236"/>
      <c r="H98" s="2236"/>
      <c r="I98" s="2237"/>
    </row>
    <row r="99" spans="1:9" ht="15" thickBot="1" x14ac:dyDescent="0.4">
      <c r="A99" s="1043" t="s">
        <v>118</v>
      </c>
      <c r="B99" s="2236"/>
      <c r="C99" s="2236"/>
      <c r="D99" s="2236"/>
      <c r="E99" s="2236"/>
      <c r="F99" s="2236"/>
      <c r="G99" s="2236"/>
      <c r="H99" s="2236"/>
      <c r="I99" s="2237"/>
    </row>
    <row r="100" spans="1:9" ht="15" thickBot="1" x14ac:dyDescent="0.4">
      <c r="A100" s="1043" t="s">
        <v>120</v>
      </c>
      <c r="B100" s="2236"/>
      <c r="C100" s="2236"/>
      <c r="D100" s="2236"/>
      <c r="E100" s="2236"/>
      <c r="F100" s="2236"/>
      <c r="G100" s="2236"/>
      <c r="H100" s="2236"/>
      <c r="I100" s="2237"/>
    </row>
    <row r="101" spans="1:9" ht="15" thickBot="1" x14ac:dyDescent="0.4">
      <c r="A101" s="1043" t="s">
        <v>122</v>
      </c>
      <c r="B101" s="2236"/>
      <c r="C101" s="2236"/>
      <c r="D101" s="2236"/>
      <c r="E101" s="2236"/>
      <c r="F101" s="2236"/>
      <c r="G101" s="2236"/>
      <c r="H101" s="2236"/>
      <c r="I101" s="2237"/>
    </row>
    <row r="102" spans="1:9" ht="15" thickBot="1" x14ac:dyDescent="0.4">
      <c r="A102" s="1043" t="s">
        <v>132</v>
      </c>
      <c r="B102" s="2236"/>
      <c r="C102" s="2236"/>
      <c r="D102" s="2236"/>
      <c r="E102" s="2236"/>
      <c r="F102" s="2236"/>
      <c r="G102" s="2236"/>
      <c r="H102" s="2236"/>
      <c r="I102" s="2237"/>
    </row>
    <row r="103" spans="1:9" ht="15" thickBot="1" x14ac:dyDescent="0.4">
      <c r="A103" s="1043" t="s">
        <v>134</v>
      </c>
      <c r="B103" s="2236"/>
      <c r="C103" s="2236"/>
      <c r="D103" s="2236"/>
      <c r="E103" s="2236"/>
      <c r="F103" s="2236"/>
      <c r="G103" s="2236"/>
      <c r="H103" s="2236"/>
      <c r="I103" s="2237"/>
    </row>
    <row r="104" spans="1:9" ht="15" thickBot="1" x14ac:dyDescent="0.4">
      <c r="A104" s="1043" t="s">
        <v>136</v>
      </c>
      <c r="B104" s="2236"/>
      <c r="C104" s="2236"/>
      <c r="D104" s="2236"/>
      <c r="E104" s="2236"/>
      <c r="F104" s="2236"/>
      <c r="G104" s="2236"/>
      <c r="H104" s="2236"/>
      <c r="I104" s="2237"/>
    </row>
    <row r="105" spans="1:9" ht="15" thickBot="1" x14ac:dyDescent="0.4">
      <c r="A105" s="1043" t="s">
        <v>142</v>
      </c>
      <c r="B105" s="2236"/>
      <c r="C105" s="2236"/>
      <c r="D105" s="2236"/>
      <c r="E105" s="2236"/>
      <c r="F105" s="2236"/>
      <c r="G105" s="2236"/>
      <c r="H105" s="2236"/>
      <c r="I105" s="2237"/>
    </row>
    <row r="106" spans="1:9" ht="15" thickBot="1" x14ac:dyDescent="0.4">
      <c r="A106" s="1043" t="s">
        <v>144</v>
      </c>
      <c r="B106" s="2236"/>
      <c r="C106" s="2236"/>
      <c r="D106" s="2236"/>
      <c r="E106" s="2236"/>
      <c r="F106" s="2236"/>
      <c r="G106" s="2236"/>
      <c r="H106" s="2236"/>
      <c r="I106" s="2237"/>
    </row>
    <row r="107" spans="1:9" ht="15" thickBot="1" x14ac:dyDescent="0.4">
      <c r="A107" s="1043" t="s">
        <v>146</v>
      </c>
      <c r="B107" s="2236"/>
      <c r="C107" s="2236"/>
      <c r="D107" s="2236"/>
      <c r="E107" s="2236"/>
      <c r="F107" s="2236"/>
      <c r="G107" s="2236"/>
      <c r="H107" s="2236"/>
      <c r="I107" s="2237"/>
    </row>
    <row r="108" spans="1:9" ht="15" thickBot="1" x14ac:dyDescent="0.4">
      <c r="A108" s="1043" t="s">
        <v>148</v>
      </c>
      <c r="B108" s="2236"/>
      <c r="C108" s="2236"/>
      <c r="D108" s="2236"/>
      <c r="E108" s="2236"/>
      <c r="F108" s="2236"/>
      <c r="G108" s="2236"/>
      <c r="H108" s="2236"/>
      <c r="I108" s="2237"/>
    </row>
    <row r="109" spans="1:9" ht="15" thickBot="1" x14ac:dyDescent="0.4">
      <c r="A109" s="1043" t="s">
        <v>150</v>
      </c>
      <c r="B109" s="2236"/>
      <c r="C109" s="2236"/>
      <c r="D109" s="2236"/>
      <c r="E109" s="2236"/>
      <c r="F109" s="2236"/>
      <c r="G109" s="2236"/>
      <c r="H109" s="2236"/>
      <c r="I109" s="2237"/>
    </row>
    <row r="110" spans="1:9" ht="15" thickBot="1" x14ac:dyDescent="0.4">
      <c r="A110" s="1043" t="s">
        <v>153</v>
      </c>
      <c r="B110" s="2236"/>
      <c r="C110" s="2236"/>
      <c r="D110" s="2236"/>
      <c r="E110" s="2236"/>
      <c r="F110" s="2236"/>
      <c r="G110" s="2236"/>
      <c r="H110" s="2236"/>
      <c r="I110" s="2237"/>
    </row>
    <row r="111" spans="1:9" ht="15" thickBot="1" x14ac:dyDescent="0.4">
      <c r="A111" s="1043" t="s">
        <v>155</v>
      </c>
      <c r="B111" s="2236"/>
      <c r="C111" s="2236"/>
      <c r="D111" s="2236"/>
      <c r="E111" s="2236"/>
      <c r="F111" s="2236"/>
      <c r="G111" s="2236"/>
      <c r="H111" s="2236"/>
      <c r="I111" s="2237"/>
    </row>
    <row r="112" spans="1:9" ht="15" thickBot="1" x14ac:dyDescent="0.4">
      <c r="A112" s="1043" t="s">
        <v>157</v>
      </c>
      <c r="B112" s="2236"/>
      <c r="C112" s="2236"/>
      <c r="D112" s="2236"/>
      <c r="E112" s="2236"/>
      <c r="F112" s="2236"/>
      <c r="G112" s="2236"/>
      <c r="H112" s="2236"/>
      <c r="I112" s="2237"/>
    </row>
    <row r="113" spans="1:9" ht="15" thickBot="1" x14ac:dyDescent="0.4">
      <c r="A113" s="1043" t="s">
        <v>162</v>
      </c>
      <c r="B113" s="2236"/>
      <c r="C113" s="2236"/>
      <c r="D113" s="2236"/>
      <c r="E113" s="2236"/>
      <c r="F113" s="2236"/>
      <c r="G113" s="2236"/>
      <c r="H113" s="2236"/>
      <c r="I113" s="2237"/>
    </row>
    <row r="114" spans="1:9" ht="15" thickBot="1" x14ac:dyDescent="0.4">
      <c r="A114" s="1043" t="s">
        <v>164</v>
      </c>
      <c r="B114" s="2236"/>
      <c r="C114" s="2236"/>
      <c r="D114" s="2236"/>
      <c r="E114" s="2236"/>
      <c r="F114" s="2236"/>
      <c r="G114" s="2236"/>
      <c r="H114" s="2236"/>
      <c r="I114" s="2237"/>
    </row>
    <row r="115" spans="1:9" ht="15" thickBot="1" x14ac:dyDescent="0.4">
      <c r="A115" s="1043" t="s">
        <v>166</v>
      </c>
      <c r="B115" s="2236"/>
      <c r="C115" s="2236"/>
      <c r="D115" s="2236"/>
      <c r="E115" s="2236"/>
      <c r="F115" s="2236"/>
      <c r="G115" s="2236"/>
      <c r="H115" s="2236"/>
      <c r="I115" s="2237"/>
    </row>
    <row r="116" spans="1:9" ht="15" thickBot="1" x14ac:dyDescent="0.4">
      <c r="A116" s="1043" t="s">
        <v>168</v>
      </c>
      <c r="B116" s="2236"/>
      <c r="C116" s="2236"/>
      <c r="D116" s="2236"/>
      <c r="E116" s="2236"/>
      <c r="F116" s="2236"/>
      <c r="G116" s="2236"/>
      <c r="H116" s="2236"/>
      <c r="I116" s="2237"/>
    </row>
    <row r="117" spans="1:9" ht="15" thickBot="1" x14ac:dyDescent="0.4">
      <c r="A117" s="1043" t="s">
        <v>170</v>
      </c>
      <c r="B117" s="2236"/>
      <c r="C117" s="2236"/>
      <c r="D117" s="2236"/>
      <c r="E117" s="2236"/>
      <c r="F117" s="2236"/>
      <c r="G117" s="2236"/>
      <c r="H117" s="2236"/>
      <c r="I117" s="2237"/>
    </row>
    <row r="118" spans="1:9" ht="15" thickBot="1" x14ac:dyDescent="0.4">
      <c r="A118" s="1043" t="s">
        <v>172</v>
      </c>
      <c r="B118" s="2236"/>
      <c r="C118" s="2236"/>
      <c r="D118" s="2236"/>
      <c r="E118" s="2236"/>
      <c r="F118" s="2236"/>
      <c r="G118" s="2236"/>
      <c r="H118" s="2236"/>
      <c r="I118" s="2237"/>
    </row>
    <row r="119" spans="1:9" ht="15" thickBot="1" x14ac:dyDescent="0.4">
      <c r="A119" s="1043" t="s">
        <v>182</v>
      </c>
      <c r="B119" s="2236"/>
      <c r="C119" s="2236"/>
      <c r="D119" s="2236"/>
      <c r="E119" s="2236"/>
      <c r="F119" s="2236"/>
      <c r="G119" s="2236"/>
      <c r="H119" s="2236"/>
      <c r="I119" s="2237"/>
    </row>
  </sheetData>
  <mergeCells count="43">
    <mergeCell ref="B82:I82"/>
    <mergeCell ref="I12:I13"/>
    <mergeCell ref="E12:E13"/>
    <mergeCell ref="F12:F13"/>
    <mergeCell ref="G12:G13"/>
    <mergeCell ref="H12:H13"/>
    <mergeCell ref="B83:I83"/>
    <mergeCell ref="B84:I84"/>
    <mergeCell ref="B85:I85"/>
    <mergeCell ref="B86:I86"/>
    <mergeCell ref="B87:I87"/>
    <mergeCell ref="B88:I88"/>
    <mergeCell ref="B89:I89"/>
    <mergeCell ref="B90:I90"/>
    <mergeCell ref="B91:I91"/>
    <mergeCell ref="B92:I92"/>
    <mergeCell ref="B93:I93"/>
    <mergeCell ref="B94:I94"/>
    <mergeCell ref="B95:I95"/>
    <mergeCell ref="B96:I96"/>
    <mergeCell ref="B97:I97"/>
    <mergeCell ref="B103:I103"/>
    <mergeCell ref="B102:I102"/>
    <mergeCell ref="B104:I104"/>
    <mergeCell ref="B98:I98"/>
    <mergeCell ref="B99:I99"/>
    <mergeCell ref="B100:I100"/>
    <mergeCell ref="B101:I101"/>
    <mergeCell ref="B105:I105"/>
    <mergeCell ref="B106:I106"/>
    <mergeCell ref="B107:I107"/>
    <mergeCell ref="B108:I108"/>
    <mergeCell ref="B109:I109"/>
    <mergeCell ref="B110:I110"/>
    <mergeCell ref="B111:I111"/>
    <mergeCell ref="B112:I112"/>
    <mergeCell ref="B113:I113"/>
    <mergeCell ref="B114:I114"/>
    <mergeCell ref="B119:I119"/>
    <mergeCell ref="B115:I115"/>
    <mergeCell ref="B116:I116"/>
    <mergeCell ref="B117:I117"/>
    <mergeCell ref="B118:I118"/>
  </mergeCells>
  <conditionalFormatting sqref="A83:B119">
    <cfRule type="expression" priority="1" stopIfTrue="1">
      <formula>NOT(ISBLANK($B83))</formula>
    </cfRule>
    <cfRule type="expression" dxfId="89" priority="2">
      <formula>_xlfn.XLOOKUP($A83,$A$17:$A$79,$I$17:$I$79)="Yes"</formula>
    </cfRule>
    <cfRule type="expression" dxfId="88" priority="3">
      <formula>_xlfn.XLOOKUP($A83,$A$17:$A$79,$I$17:$I$79)="No"</formula>
    </cfRule>
  </conditionalFormatting>
  <conditionalFormatting sqref="C17:C79">
    <cfRule type="containsText" dxfId="87" priority="4" operator="containsText" text="Manual Entry">
      <formula>NOT(ISERROR(SEARCH("Manual Entry",C17)))</formula>
    </cfRule>
  </conditionalFormatting>
  <conditionalFormatting sqref="I17:I80">
    <cfRule type="containsText" dxfId="86" priority="273" operator="containsText" text="Yes">
      <formula>NOT(ISERROR(SEARCH("Yes",I17)))</formula>
    </cfRule>
    <cfRule type="containsText" dxfId="85" priority="274" operator="containsText" text="No">
      <formula>NOT(ISERROR(SEARCH("No",I17)))</formula>
    </cfRule>
    <cfRule type="containsText" dxfId="84" priority="275" operator="containsText" text="OK">
      <formula>NOT(ISERROR(SEARCH("OK",I17)))</formula>
    </cfRule>
    <cfRule type="containsText" dxfId="83" priority="276" operator="containsText" text="Question">
      <formula>NOT(ISERROR(SEARCH("Question",I17)))</formula>
    </cfRule>
  </conditionalFormatting>
  <pageMargins left="0.7" right="0.7" top="0.75" bottom="0.75" header="0.3" footer="0.3"/>
  <pageSetup orientation="portrait" horizontalDpi="1200" verticalDpi="1200" r:id="rId1"/>
  <ignoredErrors>
    <ignoredError sqref="B2 C17:C39 C41:C50 C52:C74 C76" unlockedFormula="1"/>
    <ignoredError sqref="D40 D51 D75" formula="1"/>
    <ignoredError sqref="C75 C51 C40" formul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44EB-4586-4181-B099-01AF43D94089}">
  <dimension ref="A1:K244"/>
  <sheetViews>
    <sheetView showGridLines="0" workbookViewId="0">
      <selection activeCell="G5" sqref="G5"/>
    </sheetView>
  </sheetViews>
  <sheetFormatPr defaultColWidth="9.1796875" defaultRowHeight="14.5" x14ac:dyDescent="0.35"/>
  <cols>
    <col min="1" max="1" width="16.453125" style="976" customWidth="1"/>
    <col min="2" max="2" width="61" style="974" bestFit="1" customWidth="1"/>
    <col min="3" max="4" width="15.7265625" style="974" customWidth="1"/>
    <col min="5" max="6" width="10.7265625" style="974" customWidth="1"/>
    <col min="7" max="8" width="9.1796875" style="974"/>
    <col min="9" max="9" width="8.54296875" style="974" customWidth="1"/>
    <col min="10" max="10" width="9.1796875" style="974"/>
    <col min="11" max="11" width="13.81640625" style="976" customWidth="1"/>
    <col min="12" max="16384" width="9.1796875" style="974"/>
  </cols>
  <sheetData>
    <row r="1" spans="1:11" ht="15" thickBot="1" x14ac:dyDescent="0.4">
      <c r="A1" s="1506" t="s">
        <v>569</v>
      </c>
      <c r="B1" s="1500"/>
      <c r="C1" s="1500"/>
      <c r="D1" s="1500"/>
      <c r="E1" s="1500"/>
      <c r="F1" s="1500"/>
      <c r="G1" s="1500"/>
      <c r="H1" s="1500"/>
      <c r="I1" s="1500"/>
      <c r="J1" s="1500"/>
      <c r="K1" s="1507"/>
    </row>
    <row r="2" spans="1:11" x14ac:dyDescent="0.35">
      <c r="A2" s="975" t="s">
        <v>45</v>
      </c>
      <c r="B2" s="8" t="str">
        <f>'Instruction &amp; Audit Report B '!C20</f>
        <v>Select Contractor Name</v>
      </c>
      <c r="C2" s="2021"/>
      <c r="D2" s="2021"/>
      <c r="E2" s="2021"/>
      <c r="F2" s="2021"/>
      <c r="G2" s="2021"/>
      <c r="H2" s="2021"/>
      <c r="I2" s="2021"/>
      <c r="J2" s="2021"/>
      <c r="K2" s="2046"/>
    </row>
    <row r="3" spans="1:11" x14ac:dyDescent="0.35">
      <c r="A3" s="944" t="s">
        <v>555</v>
      </c>
      <c r="B3" s="862" t="str">
        <f>'Instruction &amp; Audit Report B '!C21</f>
        <v>mm/dd/yyyy</v>
      </c>
      <c r="C3" s="2021"/>
      <c r="D3" s="2021"/>
      <c r="E3" s="2021"/>
      <c r="F3" s="2021"/>
      <c r="G3" s="2021"/>
      <c r="H3" s="2021"/>
      <c r="I3" s="2021"/>
      <c r="J3" s="2021"/>
      <c r="K3" s="2046"/>
    </row>
    <row r="4" spans="1:11" x14ac:dyDescent="0.35">
      <c r="A4" s="2047"/>
      <c r="B4" s="2021"/>
      <c r="C4" s="2021"/>
      <c r="D4" s="2021"/>
      <c r="E4" s="2021"/>
      <c r="F4" s="2021"/>
      <c r="G4" s="2021"/>
      <c r="H4" s="2021"/>
      <c r="I4" s="2021"/>
      <c r="J4" s="2021"/>
      <c r="K4" s="2046"/>
    </row>
    <row r="5" spans="1:11" x14ac:dyDescent="0.35">
      <c r="A5" s="977" t="s">
        <v>425</v>
      </c>
      <c r="B5" s="2021"/>
      <c r="C5" s="2021"/>
      <c r="D5" s="2021"/>
      <c r="E5" s="2021"/>
      <c r="F5" s="2021"/>
      <c r="G5" s="2021"/>
      <c r="H5" s="2021"/>
      <c r="I5" s="2021"/>
      <c r="J5" s="2021"/>
      <c r="K5" s="2046"/>
    </row>
    <row r="6" spans="1:11" x14ac:dyDescent="0.35">
      <c r="A6" s="978" t="s">
        <v>570</v>
      </c>
      <c r="B6" s="2021"/>
      <c r="C6" s="2021"/>
      <c r="D6" s="2021"/>
      <c r="E6" s="2021"/>
      <c r="F6" s="2021"/>
      <c r="G6" s="2021"/>
      <c r="H6" s="2021"/>
      <c r="I6" s="2021"/>
      <c r="J6" s="2021"/>
      <c r="K6" s="2046"/>
    </row>
    <row r="7" spans="1:11" x14ac:dyDescent="0.35">
      <c r="A7" s="978" t="s">
        <v>571</v>
      </c>
      <c r="B7" s="2021"/>
      <c r="C7" s="2021"/>
      <c r="D7" s="2021"/>
      <c r="E7" s="2021"/>
      <c r="F7" s="2021"/>
      <c r="G7" s="2021"/>
      <c r="H7" s="2021"/>
      <c r="I7" s="2021"/>
      <c r="J7" s="2021"/>
      <c r="K7" s="2046"/>
    </row>
    <row r="8" spans="1:11" x14ac:dyDescent="0.35">
      <c r="A8" s="978" t="s">
        <v>558</v>
      </c>
      <c r="B8" s="2021"/>
      <c r="C8" s="2021"/>
      <c r="D8" s="2021"/>
      <c r="E8" s="2021"/>
      <c r="F8" s="2021"/>
      <c r="G8" s="2021"/>
      <c r="H8" s="2021"/>
      <c r="I8" s="2021"/>
      <c r="J8" s="2021"/>
      <c r="K8" s="2046"/>
    </row>
    <row r="9" spans="1:11" x14ac:dyDescent="0.35">
      <c r="A9" s="978" t="s">
        <v>429</v>
      </c>
      <c r="B9" s="2021"/>
      <c r="C9" s="2021"/>
      <c r="D9" s="2021"/>
      <c r="E9" s="2021"/>
      <c r="F9" s="2021"/>
      <c r="G9" s="2021"/>
      <c r="H9" s="2021"/>
      <c r="I9" s="2021"/>
      <c r="J9" s="2021"/>
      <c r="K9" s="2046"/>
    </row>
    <row r="10" spans="1:11" x14ac:dyDescent="0.35">
      <c r="A10" s="978" t="s">
        <v>559</v>
      </c>
      <c r="B10" s="2021"/>
      <c r="C10" s="2021"/>
      <c r="D10" s="2021"/>
      <c r="E10" s="2021"/>
      <c r="F10" s="2021"/>
      <c r="G10" s="2021"/>
      <c r="H10" s="2021"/>
      <c r="I10" s="2021"/>
      <c r="J10" s="2021"/>
      <c r="K10" s="2046"/>
    </row>
    <row r="11" spans="1:11" ht="15" thickBot="1" x14ac:dyDescent="0.4">
      <c r="A11" s="2046"/>
      <c r="B11" s="2021"/>
      <c r="C11" s="2021"/>
      <c r="D11" s="2021"/>
      <c r="E11" s="2021"/>
      <c r="F11" s="2021"/>
      <c r="G11" s="2021"/>
      <c r="H11" s="2021"/>
      <c r="I11" s="2021"/>
      <c r="J11" s="2021"/>
      <c r="K11" s="2021"/>
    </row>
    <row r="12" spans="1:11" ht="14.5" customHeight="1" x14ac:dyDescent="0.35">
      <c r="A12" s="979"/>
      <c r="B12" s="980"/>
      <c r="C12" s="1501" t="s">
        <v>560</v>
      </c>
      <c r="D12" s="1508" t="s">
        <v>463</v>
      </c>
      <c r="E12" s="2250" t="s">
        <v>572</v>
      </c>
      <c r="F12" s="2252" t="s">
        <v>573</v>
      </c>
      <c r="G12" s="2245" t="s">
        <v>574</v>
      </c>
      <c r="H12" s="2245" t="s">
        <v>575</v>
      </c>
      <c r="I12" s="2245" t="s">
        <v>576</v>
      </c>
      <c r="J12" s="2245" t="s">
        <v>577</v>
      </c>
      <c r="K12" s="2241" t="s">
        <v>565</v>
      </c>
    </row>
    <row r="13" spans="1:11" ht="39.65" customHeight="1" thickBot="1" x14ac:dyDescent="0.4">
      <c r="A13" s="979"/>
      <c r="B13" s="980"/>
      <c r="C13" s="1503" t="str">
        <f>IFERROR(EOMONTH(D13,-3),"mm/dd/yyyy")</f>
        <v>mm/dd/yyyy</v>
      </c>
      <c r="D13" s="1504" t="str">
        <f>B3</f>
        <v>mm/dd/yyyy</v>
      </c>
      <c r="E13" s="2251"/>
      <c r="F13" s="2253"/>
      <c r="G13" s="2246"/>
      <c r="H13" s="2246"/>
      <c r="I13" s="2246"/>
      <c r="J13" s="2246"/>
      <c r="K13" s="2242"/>
    </row>
    <row r="14" spans="1:11" x14ac:dyDescent="0.35">
      <c r="A14" s="981"/>
      <c r="B14" s="982" t="s">
        <v>578</v>
      </c>
      <c r="C14" s="1336"/>
      <c r="D14" s="983"/>
      <c r="E14" s="1336"/>
      <c r="F14" s="1340"/>
      <c r="G14" s="2025"/>
      <c r="H14" s="2025"/>
      <c r="I14" s="2025"/>
      <c r="J14" s="2025"/>
      <c r="K14" s="2024"/>
    </row>
    <row r="15" spans="1:11" x14ac:dyDescent="0.35">
      <c r="A15" s="984"/>
      <c r="B15" s="985" t="s">
        <v>579</v>
      </c>
      <c r="C15" s="1337"/>
      <c r="D15" s="986"/>
      <c r="E15" s="1337"/>
      <c r="F15" s="1341"/>
      <c r="G15" s="2029"/>
      <c r="H15" s="2029"/>
      <c r="I15" s="2029"/>
      <c r="J15" s="2029"/>
      <c r="K15" s="2028"/>
    </row>
    <row r="16" spans="1:11" x14ac:dyDescent="0.35">
      <c r="A16" s="2046"/>
      <c r="B16" s="2021"/>
      <c r="C16" s="2048"/>
      <c r="D16" s="2049"/>
      <c r="E16" s="2027"/>
      <c r="F16" s="2029"/>
      <c r="G16" s="2029"/>
      <c r="H16" s="2029"/>
      <c r="I16" s="2029"/>
      <c r="J16" s="2029"/>
      <c r="K16" s="2050"/>
    </row>
    <row r="17" spans="1:11" x14ac:dyDescent="0.35">
      <c r="A17" s="987" t="s">
        <v>193</v>
      </c>
      <c r="B17" s="980" t="s">
        <v>580</v>
      </c>
      <c r="C17" s="1936" cm="1">
        <f t="array" ref="C17">IF($C$13="mm/dd/yyyy",0,_xlfn.XLOOKUP($C$13,_xlfn.CHOOSECOLS('FS-Income Statement 3.05'!$C$5:$Q$5,3,7,11,15),_xlfn.XLOOKUP(A17,'FS-Income Statement 3.05'!$A$7:$A$203,_xlfn.CHOOSECOLS('FS-Income Statement 3.05'!$C$7:$Q$203,3,7,11,15)),"Manual Entry"))</f>
        <v>0</v>
      </c>
      <c r="D17" s="988" cm="1">
        <f t="array" ref="D17">IF($D$13="mm/dd/yyyy",0,_xlfn.XLOOKUP($D$13,_xlfn.CHOOSECOLS('FS-Income Statement 3.05'!$C$5:$Q$5,3,7,11,15),_xlfn.XLOOKUP(A17,'FS-Income Statement 3.05'!$A$7:$A$203,_xlfn.CHOOSECOLS('FS-Income Statement 3.05'!$C$7:$Q$203,3,7,11,15))))</f>
        <v>0</v>
      </c>
      <c r="E17" s="1338"/>
      <c r="F17" s="1342"/>
      <c r="G17" s="2051"/>
      <c r="H17" s="2051"/>
      <c r="I17" s="2051"/>
      <c r="J17" s="2051"/>
      <c r="K17" s="2052"/>
    </row>
    <row r="18" spans="1:11" x14ac:dyDescent="0.35">
      <c r="A18" s="987" t="s">
        <v>195</v>
      </c>
      <c r="B18" s="980" t="s">
        <v>196</v>
      </c>
      <c r="C18" s="1936" cm="1">
        <f t="array" ref="C18">IF($C$13="mm/dd/yyyy",0,_xlfn.XLOOKUP($C$13,_xlfn.CHOOSECOLS('FS-Income Statement 3.05'!$C$5:$Q$5,3,7,11,15),_xlfn.XLOOKUP(A18,'FS-Income Statement 3.05'!$A$7:$A$203,_xlfn.CHOOSECOLS('FS-Income Statement 3.05'!$C$7:$Q$203,3,7,11,15)),"Manual Entry"))</f>
        <v>0</v>
      </c>
      <c r="D18" s="988" cm="1">
        <f t="array" ref="D18">IF($D$13="mm/dd/yyyy",0,_xlfn.XLOOKUP($D$13,_xlfn.CHOOSECOLS('FS-Income Statement 3.05'!$C$5:$Q$5,3,7,11,15),_xlfn.XLOOKUP(A18,'FS-Income Statement 3.05'!$A$7:$A$203,_xlfn.CHOOSECOLS('FS-Income Statement 3.05'!$C$7:$Q$203,3,7,11,15))))</f>
        <v>0</v>
      </c>
      <c r="E18" s="1338"/>
      <c r="F18" s="1342"/>
      <c r="G18" s="2051"/>
      <c r="H18" s="2051"/>
      <c r="I18" s="2051"/>
      <c r="J18" s="2051"/>
      <c r="K18" s="2052"/>
    </row>
    <row r="19" spans="1:11" x14ac:dyDescent="0.35">
      <c r="A19" s="987" t="s">
        <v>197</v>
      </c>
      <c r="B19" s="980" t="s">
        <v>198</v>
      </c>
      <c r="C19" s="1936" cm="1">
        <f t="array" ref="C19">IF($C$13="mm/dd/yyyy",0,_xlfn.XLOOKUP($C$13,_xlfn.CHOOSECOLS('FS-Income Statement 3.05'!$C$5:$Q$5,3,7,11,15),_xlfn.XLOOKUP(A19,'FS-Income Statement 3.05'!$A$7:$A$203,_xlfn.CHOOSECOLS('FS-Income Statement 3.05'!$C$7:$Q$203,3,7,11,15)),"Manual Entry"))</f>
        <v>0</v>
      </c>
      <c r="D19" s="988" cm="1">
        <f t="array" ref="D19">IF($D$13="mm/dd/yyyy",0,_xlfn.XLOOKUP($D$13,_xlfn.CHOOSECOLS('FS-Income Statement 3.05'!$C$5:$Q$5,3,7,11,15),_xlfn.XLOOKUP(A19,'FS-Income Statement 3.05'!$A$7:$A$203,_xlfn.CHOOSECOLS('FS-Income Statement 3.05'!$C$7:$Q$203,3,7,11,15))))</f>
        <v>0</v>
      </c>
      <c r="E19" s="1338"/>
      <c r="F19" s="1342"/>
      <c r="G19" s="2051"/>
      <c r="H19" s="2051"/>
      <c r="I19" s="2051"/>
      <c r="J19" s="2051"/>
      <c r="K19" s="2052"/>
    </row>
    <row r="20" spans="1:11" x14ac:dyDescent="0.35">
      <c r="A20" s="989" t="s">
        <v>199</v>
      </c>
      <c r="B20" s="400"/>
      <c r="C20" s="1937"/>
      <c r="D20" s="990"/>
      <c r="E20" s="2053"/>
      <c r="F20" s="2054"/>
      <c r="G20" s="2055"/>
      <c r="H20" s="2055"/>
      <c r="I20" s="2055"/>
      <c r="J20" s="2054"/>
      <c r="K20" s="991"/>
    </row>
    <row r="21" spans="1:11" x14ac:dyDescent="0.35">
      <c r="A21" s="411" t="s">
        <v>200</v>
      </c>
      <c r="B21" s="412" t="s">
        <v>201</v>
      </c>
      <c r="C21" s="1936" cm="1">
        <f t="array" ref="C21">IF($C$13="mm/dd/yyyy",0,_xlfn.XLOOKUP($C$13,_xlfn.CHOOSECOLS('FS-Income Statement 3.05'!$C$5:$Q$5,3,7,11,15),_xlfn.XLOOKUP(A21,'FS-Income Statement 3.05'!$A$7:$A$203,_xlfn.CHOOSECOLS('FS-Income Statement 3.05'!$C$7:$Q$203,3,7,11,15)),"Manual Entry"))</f>
        <v>0</v>
      </c>
      <c r="D21" s="988" cm="1">
        <f t="array" ref="D21">IF($D$13="mm/dd/yyyy",0,_xlfn.XLOOKUP($D$13,_xlfn.CHOOSECOLS('FS-Income Statement 3.05'!$C$5:$Q$5,3,7,11,15),_xlfn.XLOOKUP(A21,'FS-Income Statement 3.05'!$A$7:$A$203,_xlfn.CHOOSECOLS('FS-Income Statement 3.05'!$C$7:$Q$203,3,7,11,15))))</f>
        <v>0</v>
      </c>
      <c r="E21" s="2053">
        <f t="shared" ref="E21:E27" si="0">IF($C$32=0,0,C21/$C$32)</f>
        <v>0</v>
      </c>
      <c r="F21" s="2054">
        <f t="shared" ref="F21:F27" si="1">IF($D$32=0,0,D21/$D$32)</f>
        <v>0</v>
      </c>
      <c r="G21" s="2055">
        <f>IFERROR(C21/$C$17,0)</f>
        <v>0</v>
      </c>
      <c r="H21" s="2055">
        <f>IFERROR(D21/$D$17,0)</f>
        <v>0</v>
      </c>
      <c r="I21" s="2055">
        <f t="shared" ref="I21" si="2">H21-G21</f>
        <v>0</v>
      </c>
      <c r="J21" s="2054">
        <f t="shared" ref="J21" si="3">IF(OR(AND(C21=0,D21=0),C21="Manual Entry"),0%,IF(AND(G21=0,H21&lt;&gt;0),100%,IF(G21&lt;0,(H21+ABS(G21))/ABS(G21),H21/G21-1)))</f>
        <v>0</v>
      </c>
      <c r="K21" s="991" t="str">
        <f t="shared" ref="K21:K24" si="4">IF(OR(AND(J21&gt;=5%,F21&gt;=5%),AND(J21&gt;=5%,E21&gt;=5%),AND(J21&lt;=-5%,F21&lt;=-5%),AND(J21&lt;=-5%,E21&lt;=-5%),AND(J21&gt;=5%,F21&lt;=-5%),AND(J21&lt;=-5%,F21&gt;=5%),AND(J21&gt;=5%,E21&lt;=-5%),AND(J21&lt;=-5%,E21&gt;=5%)),"Yes","No")</f>
        <v>No</v>
      </c>
    </row>
    <row r="22" spans="1:11" x14ac:dyDescent="0.35">
      <c r="A22" s="411" t="s">
        <v>202</v>
      </c>
      <c r="B22" s="412" t="s">
        <v>203</v>
      </c>
      <c r="C22" s="1936" cm="1">
        <f t="array" ref="C22">IF($C$13="mm/dd/yyyy",0,_xlfn.XLOOKUP($C$13,_xlfn.CHOOSECOLS('FS-Income Statement 3.05'!$C$5:$Q$5,3,7,11,15),_xlfn.XLOOKUP(A22,'FS-Income Statement 3.05'!$A$7:$A$203,_xlfn.CHOOSECOLS('FS-Income Statement 3.05'!$C$7:$Q$203,3,7,11,15)),"Manual Entry"))</f>
        <v>0</v>
      </c>
      <c r="D22" s="988" cm="1">
        <f t="array" ref="D22">IF($D$13="mm/dd/yyyy",0,_xlfn.XLOOKUP($D$13,_xlfn.CHOOSECOLS('FS-Income Statement 3.05'!$C$5:$Q$5,3,7,11,15),_xlfn.XLOOKUP(A22,'FS-Income Statement 3.05'!$A$7:$A$203,_xlfn.CHOOSECOLS('FS-Income Statement 3.05'!$C$7:$Q$203,3,7,11,15))))</f>
        <v>0</v>
      </c>
      <c r="E22" s="2053">
        <f t="shared" si="0"/>
        <v>0</v>
      </c>
      <c r="F22" s="2054">
        <f t="shared" si="1"/>
        <v>0</v>
      </c>
      <c r="G22" s="2055">
        <f t="shared" ref="G22:G27" si="5">IFERROR(C22/$C$17,0)</f>
        <v>0</v>
      </c>
      <c r="H22" s="2055">
        <f t="shared" ref="H22:H27" si="6">IFERROR(D22/$D$17,0)</f>
        <v>0</v>
      </c>
      <c r="I22" s="2055">
        <f t="shared" ref="I22:I27" si="7">H22-G22</f>
        <v>0</v>
      </c>
      <c r="J22" s="2054">
        <f t="shared" ref="J22:J27" si="8">IF(OR(AND(C22=0,D22=0),C22="Manual Entry"),0%,IF(AND(G22=0,H22&lt;&gt;0),100%,IF(G22&lt;0,(H22+ABS(G22))/ABS(G22),H22/G22-1)))</f>
        <v>0</v>
      </c>
      <c r="K22" s="991" t="str">
        <f t="shared" si="4"/>
        <v>No</v>
      </c>
    </row>
    <row r="23" spans="1:11" x14ac:dyDescent="0.35">
      <c r="A23" s="411" t="s">
        <v>204</v>
      </c>
      <c r="B23" s="412" t="s">
        <v>205</v>
      </c>
      <c r="C23" s="1936" cm="1">
        <f t="array" ref="C23">IF($C$13="mm/dd/yyyy",0,_xlfn.XLOOKUP($C$13,_xlfn.CHOOSECOLS('FS-Income Statement 3.05'!$C$5:$Q$5,3,7,11,15),_xlfn.XLOOKUP(A23,'FS-Income Statement 3.05'!$A$7:$A$203,_xlfn.CHOOSECOLS('FS-Income Statement 3.05'!$C$7:$Q$203,3,7,11,15)),"Manual Entry"))</f>
        <v>0</v>
      </c>
      <c r="D23" s="988" cm="1">
        <f t="array" ref="D23">IF($D$13="mm/dd/yyyy",0,_xlfn.XLOOKUP($D$13,_xlfn.CHOOSECOLS('FS-Income Statement 3.05'!$C$5:$Q$5,3,7,11,15),_xlfn.XLOOKUP(A23,'FS-Income Statement 3.05'!$A$7:$A$203,_xlfn.CHOOSECOLS('FS-Income Statement 3.05'!$C$7:$Q$203,3,7,11,15))))</f>
        <v>0</v>
      </c>
      <c r="E23" s="2053">
        <f t="shared" si="0"/>
        <v>0</v>
      </c>
      <c r="F23" s="2054">
        <f t="shared" si="1"/>
        <v>0</v>
      </c>
      <c r="G23" s="2055">
        <f t="shared" si="5"/>
        <v>0</v>
      </c>
      <c r="H23" s="2055">
        <f t="shared" si="6"/>
        <v>0</v>
      </c>
      <c r="I23" s="2055">
        <f t="shared" si="7"/>
        <v>0</v>
      </c>
      <c r="J23" s="2054">
        <f t="shared" si="8"/>
        <v>0</v>
      </c>
      <c r="K23" s="991" t="str">
        <f t="shared" si="4"/>
        <v>No</v>
      </c>
    </row>
    <row r="24" spans="1:11" x14ac:dyDescent="0.35">
      <c r="A24" s="411" t="s">
        <v>206</v>
      </c>
      <c r="B24" s="412" t="s">
        <v>207</v>
      </c>
      <c r="C24" s="1936" cm="1">
        <f t="array" ref="C24">IF($C$13="mm/dd/yyyy",0,_xlfn.XLOOKUP($C$13,_xlfn.CHOOSECOLS('FS-Income Statement 3.05'!$C$5:$Q$5,3,7,11,15),_xlfn.XLOOKUP(A24,'FS-Income Statement 3.05'!$A$7:$A$203,_xlfn.CHOOSECOLS('FS-Income Statement 3.05'!$C$7:$Q$203,3,7,11,15)),"Manual Entry"))</f>
        <v>0</v>
      </c>
      <c r="D24" s="988" cm="1">
        <f t="array" ref="D24">IF($D$13="mm/dd/yyyy",0,_xlfn.XLOOKUP($D$13,_xlfn.CHOOSECOLS('FS-Income Statement 3.05'!$C$5:$Q$5,3,7,11,15),_xlfn.XLOOKUP(A24,'FS-Income Statement 3.05'!$A$7:$A$203,_xlfn.CHOOSECOLS('FS-Income Statement 3.05'!$C$7:$Q$203,3,7,11,15))))</f>
        <v>0</v>
      </c>
      <c r="E24" s="2053">
        <f t="shared" si="0"/>
        <v>0</v>
      </c>
      <c r="F24" s="2054">
        <f t="shared" si="1"/>
        <v>0</v>
      </c>
      <c r="G24" s="2055">
        <f t="shared" si="5"/>
        <v>0</v>
      </c>
      <c r="H24" s="2055">
        <f t="shared" si="6"/>
        <v>0</v>
      </c>
      <c r="I24" s="2055">
        <f t="shared" si="7"/>
        <v>0</v>
      </c>
      <c r="J24" s="2054">
        <f t="shared" si="8"/>
        <v>0</v>
      </c>
      <c r="K24" s="991" t="str">
        <f t="shared" si="4"/>
        <v>No</v>
      </c>
    </row>
    <row r="25" spans="1:11" x14ac:dyDescent="0.35">
      <c r="A25" s="411" t="s">
        <v>208</v>
      </c>
      <c r="B25" s="412" t="s">
        <v>209</v>
      </c>
      <c r="C25" s="1936" cm="1">
        <f t="array" ref="C25">IF($C$13="mm/dd/yyyy",0,_xlfn.XLOOKUP($C$13,_xlfn.CHOOSECOLS('FS-Income Statement 3.05'!$C$5:$Q$5,3,7,11,15),_xlfn.XLOOKUP(A25,'FS-Income Statement 3.05'!$A$7:$A$203,_xlfn.CHOOSECOLS('FS-Income Statement 3.05'!$C$7:$Q$203,3,7,11,15)),"Manual Entry"))</f>
        <v>0</v>
      </c>
      <c r="D25" s="988" cm="1">
        <f t="array" ref="D25">IF($D$13="mm/dd/yyyy",0,_xlfn.XLOOKUP($D$13,_xlfn.CHOOSECOLS('FS-Income Statement 3.05'!$C$5:$Q$5,3,7,11,15),_xlfn.XLOOKUP(A25,'FS-Income Statement 3.05'!$A$7:$A$203,_xlfn.CHOOSECOLS('FS-Income Statement 3.05'!$C$7:$Q$203,3,7,11,15))))</f>
        <v>0</v>
      </c>
      <c r="E25" s="2053">
        <f t="shared" si="0"/>
        <v>0</v>
      </c>
      <c r="F25" s="2054">
        <f t="shared" si="1"/>
        <v>0</v>
      </c>
      <c r="G25" s="2055">
        <f t="shared" si="5"/>
        <v>0</v>
      </c>
      <c r="H25" s="2055">
        <f t="shared" si="6"/>
        <v>0</v>
      </c>
      <c r="I25" s="2055">
        <f t="shared" si="7"/>
        <v>0</v>
      </c>
      <c r="J25" s="2054">
        <f t="shared" si="8"/>
        <v>0</v>
      </c>
      <c r="K25" s="991" t="str">
        <f t="shared" ref="K25:K27" si="9">IF(OR(AND(J25&gt;=5%,F25&gt;=5%),AND(J25&gt;=5%,E25&gt;=5%),AND(J25&lt;=-5%,F25&lt;=-5%),AND(J25&lt;=-5%,E25&lt;=-5%),AND(J25&gt;=5%,F25&lt;=-5%),AND(J25&lt;=-5%,F25&gt;=5%),AND(J25&gt;=5%,E25&lt;=-5%),AND(J25&lt;=-5%,E25&gt;=5%)),"Yes","No")</f>
        <v>No</v>
      </c>
    </row>
    <row r="26" spans="1:11" x14ac:dyDescent="0.35">
      <c r="A26" s="411" t="s">
        <v>210</v>
      </c>
      <c r="B26" s="412" t="s">
        <v>211</v>
      </c>
      <c r="C26" s="1936" cm="1">
        <f t="array" ref="C26">IF($C$13="mm/dd/yyyy",0,_xlfn.XLOOKUP($C$13,_xlfn.CHOOSECOLS('FS-Income Statement 3.05'!$C$5:$Q$5,3,7,11,15),_xlfn.XLOOKUP(A26,'FS-Income Statement 3.05'!$A$7:$A$203,_xlfn.CHOOSECOLS('FS-Income Statement 3.05'!$C$7:$Q$203,3,7,11,15)),"Manual Entry"))</f>
        <v>0</v>
      </c>
      <c r="D26" s="988" cm="1">
        <f t="array" ref="D26">IF($D$13="mm/dd/yyyy",0,_xlfn.XLOOKUP($D$13,_xlfn.CHOOSECOLS('FS-Income Statement 3.05'!$C$5:$Q$5,3,7,11,15),_xlfn.XLOOKUP(A26,'FS-Income Statement 3.05'!$A$7:$A$203,_xlfn.CHOOSECOLS('FS-Income Statement 3.05'!$C$7:$Q$203,3,7,11,15))))</f>
        <v>0</v>
      </c>
      <c r="E26" s="2053">
        <f t="shared" si="0"/>
        <v>0</v>
      </c>
      <c r="F26" s="2054">
        <f t="shared" si="1"/>
        <v>0</v>
      </c>
      <c r="G26" s="2055">
        <f t="shared" si="5"/>
        <v>0</v>
      </c>
      <c r="H26" s="2055">
        <f t="shared" si="6"/>
        <v>0</v>
      </c>
      <c r="I26" s="2055">
        <f t="shared" si="7"/>
        <v>0</v>
      </c>
      <c r="J26" s="2054">
        <f t="shared" si="8"/>
        <v>0</v>
      </c>
      <c r="K26" s="991" t="str">
        <f t="shared" si="9"/>
        <v>No</v>
      </c>
    </row>
    <row r="27" spans="1:11" ht="15" thickBot="1" x14ac:dyDescent="0.4">
      <c r="A27" s="411" t="s">
        <v>212</v>
      </c>
      <c r="B27" s="412" t="s">
        <v>213</v>
      </c>
      <c r="C27" s="1938" cm="1">
        <f t="array" ref="C27">IF($C$13="mm/dd/yyyy",0,_xlfn.XLOOKUP($C$13,_xlfn.CHOOSECOLS('FS-Income Statement 3.05'!$C$5:$Q$5,3,7,11,15),_xlfn.XLOOKUP(A27,'FS-Income Statement 3.05'!$A$7:$A$203,_xlfn.CHOOSECOLS('FS-Income Statement 3.05'!$C$7:$Q$203,3,7,11,15)),"Manual Entry"))</f>
        <v>0</v>
      </c>
      <c r="D27" s="992" cm="1">
        <f t="array" ref="D27">IF($D$13="mm/dd/yyyy",0,_xlfn.XLOOKUP($D$13,_xlfn.CHOOSECOLS('FS-Income Statement 3.05'!$C$5:$Q$5,3,7,11,15),_xlfn.XLOOKUP(A27,'FS-Income Statement 3.05'!$A$7:$A$203,_xlfn.CHOOSECOLS('FS-Income Statement 3.05'!$C$7:$Q$203,3,7,11,15))))</f>
        <v>0</v>
      </c>
      <c r="E27" s="2056">
        <f t="shared" si="0"/>
        <v>0</v>
      </c>
      <c r="F27" s="2057">
        <f t="shared" si="1"/>
        <v>0</v>
      </c>
      <c r="G27" s="2058">
        <f t="shared" si="5"/>
        <v>0</v>
      </c>
      <c r="H27" s="2058">
        <f t="shared" si="6"/>
        <v>0</v>
      </c>
      <c r="I27" s="2058">
        <f t="shared" si="7"/>
        <v>0</v>
      </c>
      <c r="J27" s="2057">
        <f t="shared" si="8"/>
        <v>0</v>
      </c>
      <c r="K27" s="993" t="str">
        <f t="shared" si="9"/>
        <v>No</v>
      </c>
    </row>
    <row r="28" spans="1:11" ht="15" thickBot="1" x14ac:dyDescent="0.4">
      <c r="A28" s="994">
        <v>40199</v>
      </c>
      <c r="B28" s="995" t="s">
        <v>214</v>
      </c>
      <c r="C28" s="1939">
        <f>SUM(C21:C27)</f>
        <v>0</v>
      </c>
      <c r="D28" s="996">
        <f>SUM(D21:D27)</f>
        <v>0</v>
      </c>
      <c r="E28" s="2059"/>
      <c r="F28" s="2060"/>
      <c r="G28" s="2060"/>
      <c r="H28" s="2060"/>
      <c r="I28" s="2060"/>
      <c r="J28" s="2060"/>
      <c r="K28" s="2061"/>
    </row>
    <row r="29" spans="1:11" x14ac:dyDescent="0.35">
      <c r="A29" s="411" t="s">
        <v>215</v>
      </c>
      <c r="B29" s="450" t="s">
        <v>216</v>
      </c>
      <c r="C29" s="1936" cm="1">
        <f t="array" ref="C29">IF($C$13="mm/dd/yyyy",0,_xlfn.XLOOKUP($C$13,_xlfn.CHOOSECOLS('FS-Income Statement 3.05'!$C$5:$Q$5,3,7,11,15),_xlfn.XLOOKUP(A29,'FS-Income Statement 3.05'!$A$7:$A$203,_xlfn.CHOOSECOLS('FS-Income Statement 3.05'!$C$7:$Q$203,3,7,11,15)),"Manual Entry"))</f>
        <v>0</v>
      </c>
      <c r="D29" s="988" cm="1">
        <f t="array" ref="D29">IF($D$13="mm/dd/yyyy",0,_xlfn.XLOOKUP($D$13,_xlfn.CHOOSECOLS('FS-Income Statement 3.05'!$C$5:$Q$5,3,7,11,15),_xlfn.XLOOKUP(A29,'FS-Income Statement 3.05'!$A$7:$A$203,_xlfn.CHOOSECOLS('FS-Income Statement 3.05'!$C$7:$Q$203,3,7,11,15))))</f>
        <v>0</v>
      </c>
      <c r="E29" s="2053">
        <f t="shared" ref="E29:E31" si="10">IF($C$32=0,0,C29/$C$32)</f>
        <v>0</v>
      </c>
      <c r="F29" s="2054">
        <f t="shared" ref="F29:F31" si="11">IF($D$32=0,0,D29/$D$32)</f>
        <v>0</v>
      </c>
      <c r="G29" s="2055">
        <f t="shared" ref="G29:G31" si="12">IFERROR(C29/$C$17,0)</f>
        <v>0</v>
      </c>
      <c r="H29" s="2055">
        <f t="shared" ref="H29:H31" si="13">IFERROR(D29/$D$17,0)</f>
        <v>0</v>
      </c>
      <c r="I29" s="2055">
        <f t="shared" ref="I29:I31" si="14">H29-G29</f>
        <v>0</v>
      </c>
      <c r="J29" s="2054">
        <f t="shared" ref="J29:J31" si="15">IF(OR(AND(C29=0,D29=0),C29="Manual Entry"),0%,IF(AND(G29=0,H29&lt;&gt;0),100%,IF(G29&lt;0,(H29+ABS(G29))/ABS(G29),H29/G29-1)))</f>
        <v>0</v>
      </c>
      <c r="K29" s="991" t="str">
        <f t="shared" ref="K29:K31" si="16">IF(OR(AND(J29&gt;=5%,F29&gt;=5%),AND(J29&gt;=5%,E29&gt;=5%),AND(J29&lt;=-5%,F29&lt;=-5%),AND(J29&lt;=-5%,E29&lt;=-5%),AND(J29&gt;=5%,F29&lt;=-5%),AND(J29&lt;=-5%,F29&gt;=5%),AND(J29&gt;=5%,E29&lt;=-5%),AND(J29&lt;=-5%,E29&gt;=5%)),"Yes","No")</f>
        <v>No</v>
      </c>
    </row>
    <row r="30" spans="1:11" x14ac:dyDescent="0.35">
      <c r="A30" s="411" t="s">
        <v>217</v>
      </c>
      <c r="B30" s="615" t="s">
        <v>218</v>
      </c>
      <c r="C30" s="1936" cm="1">
        <f t="array" ref="C30">IF($C$13="mm/dd/yyyy",0,_xlfn.XLOOKUP($C$13,_xlfn.CHOOSECOLS('FS-Income Statement 3.05'!$C$5:$Q$5,3,7,11,15),_xlfn.XLOOKUP(A30,'FS-Income Statement 3.05'!$A$7:$A$203,_xlfn.CHOOSECOLS('FS-Income Statement 3.05'!$C$7:$Q$203,3,7,11,15)),"Manual Entry"))</f>
        <v>0</v>
      </c>
      <c r="D30" s="988" cm="1">
        <f t="array" ref="D30">IF($D$13="mm/dd/yyyy",0,_xlfn.XLOOKUP($D$13,_xlfn.CHOOSECOLS('FS-Income Statement 3.05'!$C$5:$Q$5,3,7,11,15),_xlfn.XLOOKUP(A30,'FS-Income Statement 3.05'!$A$7:$A$203,_xlfn.CHOOSECOLS('FS-Income Statement 3.05'!$C$7:$Q$203,3,7,11,15))))</f>
        <v>0</v>
      </c>
      <c r="E30" s="2053">
        <f t="shared" si="10"/>
        <v>0</v>
      </c>
      <c r="F30" s="2054">
        <f t="shared" si="11"/>
        <v>0</v>
      </c>
      <c r="G30" s="2055">
        <f t="shared" si="12"/>
        <v>0</v>
      </c>
      <c r="H30" s="2055">
        <f t="shared" si="13"/>
        <v>0</v>
      </c>
      <c r="I30" s="2055">
        <f t="shared" si="14"/>
        <v>0</v>
      </c>
      <c r="J30" s="2054">
        <f t="shared" si="15"/>
        <v>0</v>
      </c>
      <c r="K30" s="991" t="str">
        <f t="shared" si="16"/>
        <v>No</v>
      </c>
    </row>
    <row r="31" spans="1:11" ht="15" thickBot="1" x14ac:dyDescent="0.4">
      <c r="A31" s="411" t="s">
        <v>219</v>
      </c>
      <c r="B31" s="450" t="s">
        <v>220</v>
      </c>
      <c r="C31" s="1936" cm="1">
        <f t="array" ref="C31">IF($C$13="mm/dd/yyyy",0,_xlfn.XLOOKUP($C$13,_xlfn.CHOOSECOLS('FS-Income Statement 3.05'!$C$5:$Q$5,3,7,11,15),_xlfn.XLOOKUP(A31,'FS-Income Statement 3.05'!$A$7:$A$203,_xlfn.CHOOSECOLS('FS-Income Statement 3.05'!$C$7:$Q$203,3,7,11,15)),"Manual Entry"))</f>
        <v>0</v>
      </c>
      <c r="D31" s="988" cm="1">
        <f t="array" ref="D31">IF($D$13="mm/dd/yyyy",0,_xlfn.XLOOKUP($D$13,_xlfn.CHOOSECOLS('FS-Income Statement 3.05'!$C$5:$Q$5,3,7,11,15),_xlfn.XLOOKUP(A31,'FS-Income Statement 3.05'!$A$7:$A$203,_xlfn.CHOOSECOLS('FS-Income Statement 3.05'!$C$7:$Q$203,3,7,11,15))))</f>
        <v>0</v>
      </c>
      <c r="E31" s="2053">
        <f t="shared" si="10"/>
        <v>0</v>
      </c>
      <c r="F31" s="2054">
        <f t="shared" si="11"/>
        <v>0</v>
      </c>
      <c r="G31" s="2055">
        <f t="shared" si="12"/>
        <v>0</v>
      </c>
      <c r="H31" s="2055">
        <f t="shared" si="13"/>
        <v>0</v>
      </c>
      <c r="I31" s="2055">
        <f t="shared" si="14"/>
        <v>0</v>
      </c>
      <c r="J31" s="2054">
        <f t="shared" si="15"/>
        <v>0</v>
      </c>
      <c r="K31" s="991" t="str">
        <f t="shared" si="16"/>
        <v>No</v>
      </c>
    </row>
    <row r="32" spans="1:11" ht="15" thickBot="1" x14ac:dyDescent="0.4">
      <c r="A32" s="997">
        <v>49999</v>
      </c>
      <c r="B32" s="998" t="s">
        <v>221</v>
      </c>
      <c r="C32" s="1939">
        <f>IFERROR(C28+C29+C30+C31,0)</f>
        <v>0</v>
      </c>
      <c r="D32" s="996">
        <f>D28+D29+D30+D31</f>
        <v>0</v>
      </c>
      <c r="E32" s="2059"/>
      <c r="F32" s="2060"/>
      <c r="G32" s="2060"/>
      <c r="H32" s="2060"/>
      <c r="I32" s="2060"/>
      <c r="J32" s="2060"/>
      <c r="K32" s="2061"/>
    </row>
    <row r="33" spans="1:11" x14ac:dyDescent="0.35">
      <c r="A33" s="989" t="s">
        <v>222</v>
      </c>
      <c r="B33" s="538"/>
      <c r="C33" s="1936"/>
      <c r="D33" s="988"/>
      <c r="E33" s="2027"/>
      <c r="F33" s="2029"/>
      <c r="G33" s="2029"/>
      <c r="H33" s="2029"/>
      <c r="I33" s="2029"/>
      <c r="J33" s="2029"/>
      <c r="K33" s="2050"/>
    </row>
    <row r="34" spans="1:11" x14ac:dyDescent="0.35">
      <c r="A34" s="444" t="s">
        <v>223</v>
      </c>
      <c r="B34" s="450" t="s">
        <v>224</v>
      </c>
      <c r="C34" s="1936" cm="1">
        <f t="array" ref="C34">IF($C$13="mm/dd/yyyy",0,_xlfn.XLOOKUP($C$13,_xlfn.CHOOSECOLS('FS-Income Statement 3.05'!$C$5:$Q$5,3,7,11,15),_xlfn.XLOOKUP(A34,'FS-Income Statement 3.05'!$A$7:$A$203,_xlfn.CHOOSECOLS('FS-Income Statement 3.05'!$C$7:$Q$203,3,7,11,15)),"Manual Entry"))</f>
        <v>0</v>
      </c>
      <c r="D34" s="988" cm="1">
        <f t="array" ref="D34">IF($D$13="mm/dd/yyyy",0,_xlfn.XLOOKUP($D$13,_xlfn.CHOOSECOLS('FS-Income Statement 3.05'!$C$5:$Q$5,3,7,11,15),_xlfn.XLOOKUP(A34,'FS-Income Statement 3.05'!$A$7:$A$203,_xlfn.CHOOSECOLS('FS-Income Statement 3.05'!$C$7:$Q$203,3,7,11,15))))</f>
        <v>0</v>
      </c>
      <c r="E34" s="2053">
        <f t="shared" ref="E34:E39" si="17">IF($C$32=0,0,C34/$C$32)</f>
        <v>0</v>
      </c>
      <c r="F34" s="2054">
        <f t="shared" ref="F34:F39" si="18">IF($D$32=0,0,D34/$D$32)</f>
        <v>0</v>
      </c>
      <c r="G34" s="2055">
        <f t="shared" ref="G34:G39" si="19">IFERROR(C34/$C$17,0)</f>
        <v>0</v>
      </c>
      <c r="H34" s="2055">
        <f t="shared" ref="H34:H39" si="20">IFERROR(D34/$D$17,0)</f>
        <v>0</v>
      </c>
      <c r="I34" s="2055">
        <f t="shared" ref="I34:I39" si="21">H34-G34</f>
        <v>0</v>
      </c>
      <c r="J34" s="2054">
        <f t="shared" ref="J34:J39" si="22">IF(OR(AND(C34=0,D34=0),C34="Manual Entry"),0%,IF(AND(G34=0,H34&lt;&gt;0),100%,IF(G34&lt;0,(H34+ABS(G34))/ABS(G34),H34/G34-1)))</f>
        <v>0</v>
      </c>
      <c r="K34" s="991" t="str">
        <f t="shared" ref="K34:K39" si="23">IF(OR(AND(J34&gt;=5%,F34&gt;=5%),AND(J34&gt;=5%,E34&gt;=5%),AND(J34&lt;=-5%,F34&lt;=-5%),AND(J34&lt;=-5%,E34&lt;=-5%),AND(J34&gt;=5%,F34&lt;=-5%),AND(J34&lt;=-5%,F34&gt;=5%),AND(J34&gt;=5%,E34&lt;=-5%),AND(J34&lt;=-5%,E34&gt;=5%)),"Yes","No")</f>
        <v>No</v>
      </c>
    </row>
    <row r="35" spans="1:11" x14ac:dyDescent="0.35">
      <c r="A35" s="445" t="s">
        <v>225</v>
      </c>
      <c r="B35" s="450" t="s">
        <v>226</v>
      </c>
      <c r="C35" s="1936" cm="1">
        <f t="array" ref="C35">IF($C$13="mm/dd/yyyy",0,_xlfn.XLOOKUP($C$13,_xlfn.CHOOSECOLS('FS-Income Statement 3.05'!$C$5:$Q$5,3,7,11,15),_xlfn.XLOOKUP(A35,'FS-Income Statement 3.05'!$A$7:$A$203,_xlfn.CHOOSECOLS('FS-Income Statement 3.05'!$C$7:$Q$203,3,7,11,15)),"Manual Entry"))</f>
        <v>0</v>
      </c>
      <c r="D35" s="988" cm="1">
        <f t="array" ref="D35">IF($D$13="mm/dd/yyyy",0,_xlfn.XLOOKUP($D$13,_xlfn.CHOOSECOLS('FS-Income Statement 3.05'!$C$5:$Q$5,3,7,11,15),_xlfn.XLOOKUP(A35,'FS-Income Statement 3.05'!$A$7:$A$203,_xlfn.CHOOSECOLS('FS-Income Statement 3.05'!$C$7:$Q$203,3,7,11,15))))</f>
        <v>0</v>
      </c>
      <c r="E35" s="2053">
        <f t="shared" si="17"/>
        <v>0</v>
      </c>
      <c r="F35" s="2054">
        <f t="shared" si="18"/>
        <v>0</v>
      </c>
      <c r="G35" s="2055">
        <f t="shared" si="19"/>
        <v>0</v>
      </c>
      <c r="H35" s="2055">
        <f t="shared" si="20"/>
        <v>0</v>
      </c>
      <c r="I35" s="2055">
        <f t="shared" si="21"/>
        <v>0</v>
      </c>
      <c r="J35" s="2054">
        <f t="shared" si="22"/>
        <v>0</v>
      </c>
      <c r="K35" s="991" t="str">
        <f t="shared" si="23"/>
        <v>No</v>
      </c>
    </row>
    <row r="36" spans="1:11" x14ac:dyDescent="0.35">
      <c r="A36" s="445" t="s">
        <v>227</v>
      </c>
      <c r="B36" s="450" t="s">
        <v>228</v>
      </c>
      <c r="C36" s="1936" cm="1">
        <f t="array" ref="C36">IF($C$13="mm/dd/yyyy",0,_xlfn.XLOOKUP($C$13,_xlfn.CHOOSECOLS('FS-Income Statement 3.05'!$C$5:$Q$5,3,7,11,15),_xlfn.XLOOKUP(A36,'FS-Income Statement 3.05'!$A$7:$A$203,_xlfn.CHOOSECOLS('FS-Income Statement 3.05'!$C$7:$Q$203,3,7,11,15)),"Manual Entry"))</f>
        <v>0</v>
      </c>
      <c r="D36" s="988" cm="1">
        <f t="array" ref="D36">IF($D$13="mm/dd/yyyy",0,_xlfn.XLOOKUP($D$13,_xlfn.CHOOSECOLS('FS-Income Statement 3.05'!$C$5:$Q$5,3,7,11,15),_xlfn.XLOOKUP(A36,'FS-Income Statement 3.05'!$A$7:$A$203,_xlfn.CHOOSECOLS('FS-Income Statement 3.05'!$C$7:$Q$203,3,7,11,15))))</f>
        <v>0</v>
      </c>
      <c r="E36" s="2053">
        <f t="shared" si="17"/>
        <v>0</v>
      </c>
      <c r="F36" s="2054">
        <f t="shared" si="18"/>
        <v>0</v>
      </c>
      <c r="G36" s="2055">
        <f t="shared" si="19"/>
        <v>0</v>
      </c>
      <c r="H36" s="2055">
        <f t="shared" si="20"/>
        <v>0</v>
      </c>
      <c r="I36" s="2055">
        <f t="shared" si="21"/>
        <v>0</v>
      </c>
      <c r="J36" s="2054">
        <f t="shared" si="22"/>
        <v>0</v>
      </c>
      <c r="K36" s="991" t="str">
        <f t="shared" si="23"/>
        <v>No</v>
      </c>
    </row>
    <row r="37" spans="1:11" x14ac:dyDescent="0.35">
      <c r="A37" s="411" t="s">
        <v>229</v>
      </c>
      <c r="B37" s="450" t="s">
        <v>230</v>
      </c>
      <c r="C37" s="1936" cm="1">
        <f t="array" ref="C37">IF($C$13="mm/dd/yyyy",0,_xlfn.XLOOKUP($C$13,_xlfn.CHOOSECOLS('FS-Income Statement 3.05'!$C$5:$Q$5,3,7,11,15),_xlfn.XLOOKUP(A37,'FS-Income Statement 3.05'!$A$7:$A$203,_xlfn.CHOOSECOLS('FS-Income Statement 3.05'!$C$7:$Q$203,3,7,11,15)),"Manual Entry"))</f>
        <v>0</v>
      </c>
      <c r="D37" s="988" cm="1">
        <f t="array" ref="D37">IF($D$13="mm/dd/yyyy",0,_xlfn.XLOOKUP($D$13,_xlfn.CHOOSECOLS('FS-Income Statement 3.05'!$C$5:$Q$5,3,7,11,15),_xlfn.XLOOKUP(A37,'FS-Income Statement 3.05'!$A$7:$A$203,_xlfn.CHOOSECOLS('FS-Income Statement 3.05'!$C$7:$Q$203,3,7,11,15))))</f>
        <v>0</v>
      </c>
      <c r="E37" s="2053">
        <f t="shared" si="17"/>
        <v>0</v>
      </c>
      <c r="F37" s="2054">
        <f t="shared" si="18"/>
        <v>0</v>
      </c>
      <c r="G37" s="2055">
        <f t="shared" si="19"/>
        <v>0</v>
      </c>
      <c r="H37" s="2055">
        <f t="shared" si="20"/>
        <v>0</v>
      </c>
      <c r="I37" s="2055">
        <f t="shared" si="21"/>
        <v>0</v>
      </c>
      <c r="J37" s="2054">
        <f t="shared" si="22"/>
        <v>0</v>
      </c>
      <c r="K37" s="991" t="str">
        <f t="shared" si="23"/>
        <v>No</v>
      </c>
    </row>
    <row r="38" spans="1:11" x14ac:dyDescent="0.35">
      <c r="A38" s="411" t="s">
        <v>231</v>
      </c>
      <c r="B38" s="450" t="s">
        <v>232</v>
      </c>
      <c r="C38" s="1936" cm="1">
        <f t="array" ref="C38">IF($C$13="mm/dd/yyyy",0,_xlfn.XLOOKUP($C$13,_xlfn.CHOOSECOLS('FS-Income Statement 3.05'!$C$5:$Q$5,3,7,11,15),_xlfn.XLOOKUP(A38,'FS-Income Statement 3.05'!$A$7:$A$203,_xlfn.CHOOSECOLS('FS-Income Statement 3.05'!$C$7:$Q$203,3,7,11,15)),"Manual Entry"))</f>
        <v>0</v>
      </c>
      <c r="D38" s="988" cm="1">
        <f t="array" ref="D38">IF($D$13="mm/dd/yyyy",0,_xlfn.XLOOKUP($D$13,_xlfn.CHOOSECOLS('FS-Income Statement 3.05'!$C$5:$Q$5,3,7,11,15),_xlfn.XLOOKUP(A38,'FS-Income Statement 3.05'!$A$7:$A$203,_xlfn.CHOOSECOLS('FS-Income Statement 3.05'!$C$7:$Q$203,3,7,11,15))))</f>
        <v>0</v>
      </c>
      <c r="E38" s="2053">
        <f t="shared" si="17"/>
        <v>0</v>
      </c>
      <c r="F38" s="2054">
        <f t="shared" si="18"/>
        <v>0</v>
      </c>
      <c r="G38" s="2055">
        <f t="shared" si="19"/>
        <v>0</v>
      </c>
      <c r="H38" s="2055">
        <f t="shared" si="20"/>
        <v>0</v>
      </c>
      <c r="I38" s="2055">
        <f t="shared" si="21"/>
        <v>0</v>
      </c>
      <c r="J38" s="2054">
        <f t="shared" si="22"/>
        <v>0</v>
      </c>
      <c r="K38" s="991" t="str">
        <f t="shared" si="23"/>
        <v>No</v>
      </c>
    </row>
    <row r="39" spans="1:11" ht="15" thickBot="1" x14ac:dyDescent="0.4">
      <c r="A39" s="411" t="s">
        <v>233</v>
      </c>
      <c r="B39" s="450" t="s">
        <v>234</v>
      </c>
      <c r="C39" s="1936" cm="1">
        <f t="array" ref="C39">IF($C$13="mm/dd/yyyy",0,_xlfn.XLOOKUP($C$13,_xlfn.CHOOSECOLS('FS-Income Statement 3.05'!$C$5:$Q$5,3,7,11,15),_xlfn.XLOOKUP(A39,'FS-Income Statement 3.05'!$A$7:$A$203,_xlfn.CHOOSECOLS('FS-Income Statement 3.05'!$C$7:$Q$203,3,7,11,15)),"Manual Entry"))</f>
        <v>0</v>
      </c>
      <c r="D39" s="988" cm="1">
        <f t="array" ref="D39">IF($D$13="mm/dd/yyyy",0,_xlfn.XLOOKUP($D$13,_xlfn.CHOOSECOLS('FS-Income Statement 3.05'!$C$5:$Q$5,3,7,11,15),_xlfn.XLOOKUP(A39,'FS-Income Statement 3.05'!$A$7:$A$203,_xlfn.CHOOSECOLS('FS-Income Statement 3.05'!$C$7:$Q$203,3,7,11,15))))</f>
        <v>0</v>
      </c>
      <c r="E39" s="2053">
        <f t="shared" si="17"/>
        <v>0</v>
      </c>
      <c r="F39" s="2054">
        <f t="shared" si="18"/>
        <v>0</v>
      </c>
      <c r="G39" s="2055">
        <f t="shared" si="19"/>
        <v>0</v>
      </c>
      <c r="H39" s="2055">
        <f t="shared" si="20"/>
        <v>0</v>
      </c>
      <c r="I39" s="2055">
        <f t="shared" si="21"/>
        <v>0</v>
      </c>
      <c r="J39" s="2054">
        <f t="shared" si="22"/>
        <v>0</v>
      </c>
      <c r="K39" s="991" t="str">
        <f t="shared" si="23"/>
        <v>No</v>
      </c>
    </row>
    <row r="40" spans="1:11" ht="15" thickBot="1" x14ac:dyDescent="0.4">
      <c r="A40" s="999" t="s">
        <v>235</v>
      </c>
      <c r="B40" s="998" t="s">
        <v>236</v>
      </c>
      <c r="C40" s="1939">
        <f>SUM(C34:C39)</f>
        <v>0</v>
      </c>
      <c r="D40" s="996">
        <f>SUM(D34:D39)</f>
        <v>0</v>
      </c>
      <c r="E40" s="2059"/>
      <c r="F40" s="2060"/>
      <c r="G40" s="2060"/>
      <c r="H40" s="2060"/>
      <c r="I40" s="2060"/>
      <c r="J40" s="2060"/>
      <c r="K40" s="2061"/>
    </row>
    <row r="41" spans="1:11" x14ac:dyDescent="0.35">
      <c r="A41" s="989" t="s">
        <v>237</v>
      </c>
      <c r="B41" s="538"/>
      <c r="C41" s="1936"/>
      <c r="D41" s="988"/>
      <c r="E41" s="2027"/>
      <c r="F41" s="2029"/>
      <c r="G41" s="2029"/>
      <c r="H41" s="2029"/>
      <c r="I41" s="2029"/>
      <c r="J41" s="2029"/>
      <c r="K41" s="2050"/>
    </row>
    <row r="42" spans="1:11" x14ac:dyDescent="0.35">
      <c r="A42" s="411" t="s">
        <v>238</v>
      </c>
      <c r="B42" s="450" t="s">
        <v>239</v>
      </c>
      <c r="C42" s="1936" cm="1">
        <f t="array" ref="C42">IF($C$13="mm/dd/yyyy",0,_xlfn.XLOOKUP($C$13,_xlfn.CHOOSECOLS('FS-Income Statement 3.05'!$C$5:$Q$5,3,7,11,15),_xlfn.XLOOKUP(A42,'FS-Income Statement 3.05'!$A$7:$A$203,_xlfn.CHOOSECOLS('FS-Income Statement 3.05'!$C$7:$Q$203,3,7,11,15)),"Manual Entry"))</f>
        <v>0</v>
      </c>
      <c r="D42" s="988" cm="1">
        <f t="array" ref="D42">IF($D$13="mm/dd/yyyy",0,_xlfn.XLOOKUP($D$13,_xlfn.CHOOSECOLS('FS-Income Statement 3.05'!$C$5:$Q$5,3,7,11,15),_xlfn.XLOOKUP(A42,'FS-Income Statement 3.05'!$A$7:$A$203,_xlfn.CHOOSECOLS('FS-Income Statement 3.05'!$C$7:$Q$203,3,7,11,15))))</f>
        <v>0</v>
      </c>
      <c r="E42" s="2053">
        <f t="shared" ref="E42:E56" si="24">IF($C$32=0,0,C42/$C$32)</f>
        <v>0</v>
      </c>
      <c r="F42" s="2054">
        <f t="shared" ref="F42:F56" si="25">IF($D$32=0,0,D42/$D$32)</f>
        <v>0</v>
      </c>
      <c r="G42" s="2055">
        <f t="shared" ref="G42:G56" si="26">IFERROR(C42/$C$17,0)</f>
        <v>0</v>
      </c>
      <c r="H42" s="2055">
        <f t="shared" ref="H42:H56" si="27">IFERROR(D42/$D$17,0)</f>
        <v>0</v>
      </c>
      <c r="I42" s="2055">
        <f t="shared" ref="I42:I56" si="28">H42-G42</f>
        <v>0</v>
      </c>
      <c r="J42" s="2054">
        <f t="shared" ref="J42:J56" si="29">IF(OR(AND(C42=0,D42=0),C42="Manual Entry"),0%,IF(AND(G42=0,H42&lt;&gt;0),100%,IF(G42&lt;0,(H42+ABS(G42))/ABS(G42),H42/G42-1)))</f>
        <v>0</v>
      </c>
      <c r="K42" s="991" t="str">
        <f t="shared" ref="K42:K56" si="30">IF(OR(AND(J42&gt;=5%,F42&gt;=5%),AND(J42&gt;=5%,E42&gt;=5%),AND(J42&lt;=-5%,F42&lt;=-5%),AND(J42&lt;=-5%,E42&lt;=-5%),AND(J42&gt;=5%,F42&lt;=-5%),AND(J42&lt;=-5%,F42&gt;=5%),AND(J42&gt;=5%,E42&lt;=-5%),AND(J42&lt;=-5%,E42&gt;=5%)),"Yes","No")</f>
        <v>No</v>
      </c>
    </row>
    <row r="43" spans="1:11" x14ac:dyDescent="0.35">
      <c r="A43" s="411" t="s">
        <v>240</v>
      </c>
      <c r="B43" s="450" t="s">
        <v>241</v>
      </c>
      <c r="C43" s="1936" cm="1">
        <f t="array" ref="C43">IF($C$13="mm/dd/yyyy",0,_xlfn.XLOOKUP($C$13,_xlfn.CHOOSECOLS('FS-Income Statement 3.05'!$C$5:$Q$5,3,7,11,15),_xlfn.XLOOKUP(A43,'FS-Income Statement 3.05'!$A$7:$A$203,_xlfn.CHOOSECOLS('FS-Income Statement 3.05'!$C$7:$Q$203,3,7,11,15)),"Manual Entry"))</f>
        <v>0</v>
      </c>
      <c r="D43" s="988" cm="1">
        <f t="array" ref="D43">IF($D$13="mm/dd/yyyy",0,_xlfn.XLOOKUP($D$13,_xlfn.CHOOSECOLS('FS-Income Statement 3.05'!$C$5:$Q$5,3,7,11,15),_xlfn.XLOOKUP(A43,'FS-Income Statement 3.05'!$A$7:$A$203,_xlfn.CHOOSECOLS('FS-Income Statement 3.05'!$C$7:$Q$203,3,7,11,15))))</f>
        <v>0</v>
      </c>
      <c r="E43" s="2053">
        <f t="shared" si="24"/>
        <v>0</v>
      </c>
      <c r="F43" s="2054">
        <f t="shared" si="25"/>
        <v>0</v>
      </c>
      <c r="G43" s="2055">
        <f t="shared" si="26"/>
        <v>0</v>
      </c>
      <c r="H43" s="2055">
        <f t="shared" si="27"/>
        <v>0</v>
      </c>
      <c r="I43" s="2055">
        <f t="shared" si="28"/>
        <v>0</v>
      </c>
      <c r="J43" s="2054">
        <f t="shared" si="29"/>
        <v>0</v>
      </c>
      <c r="K43" s="991" t="str">
        <f t="shared" si="30"/>
        <v>No</v>
      </c>
    </row>
    <row r="44" spans="1:11" x14ac:dyDescent="0.35">
      <c r="A44" s="411" t="s">
        <v>242</v>
      </c>
      <c r="B44" s="450" t="s">
        <v>243</v>
      </c>
      <c r="C44" s="1936" cm="1">
        <f t="array" ref="C44">IF($C$13="mm/dd/yyyy",0,_xlfn.XLOOKUP($C$13,_xlfn.CHOOSECOLS('FS-Income Statement 3.05'!$C$5:$Q$5,3,7,11,15),_xlfn.XLOOKUP(A44,'FS-Income Statement 3.05'!$A$7:$A$203,_xlfn.CHOOSECOLS('FS-Income Statement 3.05'!$C$7:$Q$203,3,7,11,15)),"Manual Entry"))</f>
        <v>0</v>
      </c>
      <c r="D44" s="988" cm="1">
        <f t="array" ref="D44">IF($D$13="mm/dd/yyyy",0,_xlfn.XLOOKUP($D$13,_xlfn.CHOOSECOLS('FS-Income Statement 3.05'!$C$5:$Q$5,3,7,11,15),_xlfn.XLOOKUP(A44,'FS-Income Statement 3.05'!$A$7:$A$203,_xlfn.CHOOSECOLS('FS-Income Statement 3.05'!$C$7:$Q$203,3,7,11,15))))</f>
        <v>0</v>
      </c>
      <c r="E44" s="2053">
        <f t="shared" si="24"/>
        <v>0</v>
      </c>
      <c r="F44" s="2054">
        <f t="shared" si="25"/>
        <v>0</v>
      </c>
      <c r="G44" s="2055">
        <f t="shared" si="26"/>
        <v>0</v>
      </c>
      <c r="H44" s="2055">
        <f t="shared" si="27"/>
        <v>0</v>
      </c>
      <c r="I44" s="2055">
        <f t="shared" si="28"/>
        <v>0</v>
      </c>
      <c r="J44" s="2054">
        <f t="shared" si="29"/>
        <v>0</v>
      </c>
      <c r="K44" s="991" t="str">
        <f t="shared" si="30"/>
        <v>No</v>
      </c>
    </row>
    <row r="45" spans="1:11" x14ac:dyDescent="0.35">
      <c r="A45" s="411" t="s">
        <v>244</v>
      </c>
      <c r="B45" s="450" t="s">
        <v>245</v>
      </c>
      <c r="C45" s="1936" cm="1">
        <f t="array" ref="C45">IF($C$13="mm/dd/yyyy",0,_xlfn.XLOOKUP($C$13,_xlfn.CHOOSECOLS('FS-Income Statement 3.05'!$C$5:$Q$5,3,7,11,15),_xlfn.XLOOKUP(A45,'FS-Income Statement 3.05'!$A$7:$A$203,_xlfn.CHOOSECOLS('FS-Income Statement 3.05'!$C$7:$Q$203,3,7,11,15)),"Manual Entry"))</f>
        <v>0</v>
      </c>
      <c r="D45" s="988" cm="1">
        <f t="array" ref="D45">IF($D$13="mm/dd/yyyy",0,_xlfn.XLOOKUP($D$13,_xlfn.CHOOSECOLS('FS-Income Statement 3.05'!$C$5:$Q$5,3,7,11,15),_xlfn.XLOOKUP(A45,'FS-Income Statement 3.05'!$A$7:$A$203,_xlfn.CHOOSECOLS('FS-Income Statement 3.05'!$C$7:$Q$203,3,7,11,15))))</f>
        <v>0</v>
      </c>
      <c r="E45" s="2053">
        <f t="shared" si="24"/>
        <v>0</v>
      </c>
      <c r="F45" s="2054">
        <f t="shared" si="25"/>
        <v>0</v>
      </c>
      <c r="G45" s="2055">
        <f t="shared" si="26"/>
        <v>0</v>
      </c>
      <c r="H45" s="2055">
        <f t="shared" si="27"/>
        <v>0</v>
      </c>
      <c r="I45" s="2055">
        <f t="shared" si="28"/>
        <v>0</v>
      </c>
      <c r="J45" s="2054">
        <f t="shared" si="29"/>
        <v>0</v>
      </c>
      <c r="K45" s="991" t="str">
        <f t="shared" si="30"/>
        <v>No</v>
      </c>
    </row>
    <row r="46" spans="1:11" x14ac:dyDescent="0.35">
      <c r="A46" s="411" t="s">
        <v>246</v>
      </c>
      <c r="B46" s="450" t="s">
        <v>247</v>
      </c>
      <c r="C46" s="1936" cm="1">
        <f t="array" ref="C46">IF($C$13="mm/dd/yyyy",0,_xlfn.XLOOKUP($C$13,_xlfn.CHOOSECOLS('FS-Income Statement 3.05'!$C$5:$Q$5,3,7,11,15),_xlfn.XLOOKUP(A46,'FS-Income Statement 3.05'!$A$7:$A$203,_xlfn.CHOOSECOLS('FS-Income Statement 3.05'!$C$7:$Q$203,3,7,11,15)),"Manual Entry"))</f>
        <v>0</v>
      </c>
      <c r="D46" s="988" cm="1">
        <f t="array" ref="D46">IF($D$13="mm/dd/yyyy",0,_xlfn.XLOOKUP($D$13,_xlfn.CHOOSECOLS('FS-Income Statement 3.05'!$C$5:$Q$5,3,7,11,15),_xlfn.XLOOKUP(A46,'FS-Income Statement 3.05'!$A$7:$A$203,_xlfn.CHOOSECOLS('FS-Income Statement 3.05'!$C$7:$Q$203,3,7,11,15))))</f>
        <v>0</v>
      </c>
      <c r="E46" s="2053">
        <f t="shared" si="24"/>
        <v>0</v>
      </c>
      <c r="F46" s="2054">
        <f t="shared" si="25"/>
        <v>0</v>
      </c>
      <c r="G46" s="2055">
        <f t="shared" si="26"/>
        <v>0</v>
      </c>
      <c r="H46" s="2055">
        <f t="shared" si="27"/>
        <v>0</v>
      </c>
      <c r="I46" s="2055">
        <f t="shared" si="28"/>
        <v>0</v>
      </c>
      <c r="J46" s="2054">
        <f t="shared" si="29"/>
        <v>0</v>
      </c>
      <c r="K46" s="991" t="str">
        <f t="shared" si="30"/>
        <v>No</v>
      </c>
    </row>
    <row r="47" spans="1:11" x14ac:dyDescent="0.35">
      <c r="A47" s="411" t="s">
        <v>248</v>
      </c>
      <c r="B47" s="450" t="s">
        <v>249</v>
      </c>
      <c r="C47" s="1936" cm="1">
        <f t="array" ref="C47">IF($C$13="mm/dd/yyyy",0,_xlfn.XLOOKUP($C$13,_xlfn.CHOOSECOLS('FS-Income Statement 3.05'!$C$5:$Q$5,3,7,11,15),_xlfn.XLOOKUP(A47,'FS-Income Statement 3.05'!$A$7:$A$203,_xlfn.CHOOSECOLS('FS-Income Statement 3.05'!$C$7:$Q$203,3,7,11,15)),"Manual Entry"))</f>
        <v>0</v>
      </c>
      <c r="D47" s="988" cm="1">
        <f t="array" ref="D47">IF($D$13="mm/dd/yyyy",0,_xlfn.XLOOKUP($D$13,_xlfn.CHOOSECOLS('FS-Income Statement 3.05'!$C$5:$Q$5,3,7,11,15),_xlfn.XLOOKUP(A47,'FS-Income Statement 3.05'!$A$7:$A$203,_xlfn.CHOOSECOLS('FS-Income Statement 3.05'!$C$7:$Q$203,3,7,11,15))))</f>
        <v>0</v>
      </c>
      <c r="E47" s="2053">
        <f t="shared" si="24"/>
        <v>0</v>
      </c>
      <c r="F47" s="2054">
        <f t="shared" si="25"/>
        <v>0</v>
      </c>
      <c r="G47" s="2055">
        <f t="shared" si="26"/>
        <v>0</v>
      </c>
      <c r="H47" s="2055">
        <f t="shared" si="27"/>
        <v>0</v>
      </c>
      <c r="I47" s="2055">
        <f t="shared" si="28"/>
        <v>0</v>
      </c>
      <c r="J47" s="2054">
        <f t="shared" si="29"/>
        <v>0</v>
      </c>
      <c r="K47" s="991" t="str">
        <f t="shared" si="30"/>
        <v>No</v>
      </c>
    </row>
    <row r="48" spans="1:11" x14ac:dyDescent="0.35">
      <c r="A48" s="411" t="s">
        <v>250</v>
      </c>
      <c r="B48" s="450" t="s">
        <v>251</v>
      </c>
      <c r="C48" s="1936" cm="1">
        <f t="array" ref="C48">IF($C$13="mm/dd/yyyy",0,_xlfn.XLOOKUP($C$13,_xlfn.CHOOSECOLS('FS-Income Statement 3.05'!$C$5:$Q$5,3,7,11,15),_xlfn.XLOOKUP(A48,'FS-Income Statement 3.05'!$A$7:$A$203,_xlfn.CHOOSECOLS('FS-Income Statement 3.05'!$C$7:$Q$203,3,7,11,15)),"Manual Entry"))</f>
        <v>0</v>
      </c>
      <c r="D48" s="988" cm="1">
        <f t="array" ref="D48">IF($D$13="mm/dd/yyyy",0,_xlfn.XLOOKUP($D$13,_xlfn.CHOOSECOLS('FS-Income Statement 3.05'!$C$5:$Q$5,3,7,11,15),_xlfn.XLOOKUP(A48,'FS-Income Statement 3.05'!$A$7:$A$203,_xlfn.CHOOSECOLS('FS-Income Statement 3.05'!$C$7:$Q$203,3,7,11,15))))</f>
        <v>0</v>
      </c>
      <c r="E48" s="2053">
        <f t="shared" si="24"/>
        <v>0</v>
      </c>
      <c r="F48" s="2054">
        <f t="shared" si="25"/>
        <v>0</v>
      </c>
      <c r="G48" s="2055">
        <f t="shared" si="26"/>
        <v>0</v>
      </c>
      <c r="H48" s="2055">
        <f t="shared" si="27"/>
        <v>0</v>
      </c>
      <c r="I48" s="2055">
        <f t="shared" si="28"/>
        <v>0</v>
      </c>
      <c r="J48" s="2054">
        <f t="shared" si="29"/>
        <v>0</v>
      </c>
      <c r="K48" s="991" t="str">
        <f t="shared" si="30"/>
        <v>No</v>
      </c>
    </row>
    <row r="49" spans="1:11" x14ac:dyDescent="0.35">
      <c r="A49" s="411" t="s">
        <v>252</v>
      </c>
      <c r="B49" s="450" t="s">
        <v>253</v>
      </c>
      <c r="C49" s="1936" cm="1">
        <f t="array" ref="C49">IF($C$13="mm/dd/yyyy",0,_xlfn.XLOOKUP($C$13,_xlfn.CHOOSECOLS('FS-Income Statement 3.05'!$C$5:$Q$5,3,7,11,15),_xlfn.XLOOKUP(A49,'FS-Income Statement 3.05'!$A$7:$A$203,_xlfn.CHOOSECOLS('FS-Income Statement 3.05'!$C$7:$Q$203,3,7,11,15)),"Manual Entry"))</f>
        <v>0</v>
      </c>
      <c r="D49" s="988" cm="1">
        <f t="array" ref="D49">IF($D$13="mm/dd/yyyy",0,_xlfn.XLOOKUP($D$13,_xlfn.CHOOSECOLS('FS-Income Statement 3.05'!$C$5:$Q$5,3,7,11,15),_xlfn.XLOOKUP(A49,'FS-Income Statement 3.05'!$A$7:$A$203,_xlfn.CHOOSECOLS('FS-Income Statement 3.05'!$C$7:$Q$203,3,7,11,15))))</f>
        <v>0</v>
      </c>
      <c r="E49" s="2053">
        <f t="shared" si="24"/>
        <v>0</v>
      </c>
      <c r="F49" s="2054">
        <f t="shared" si="25"/>
        <v>0</v>
      </c>
      <c r="G49" s="2055">
        <f t="shared" si="26"/>
        <v>0</v>
      </c>
      <c r="H49" s="2055">
        <f t="shared" si="27"/>
        <v>0</v>
      </c>
      <c r="I49" s="2055">
        <f t="shared" si="28"/>
        <v>0</v>
      </c>
      <c r="J49" s="2054">
        <f t="shared" si="29"/>
        <v>0</v>
      </c>
      <c r="K49" s="991" t="str">
        <f t="shared" si="30"/>
        <v>No</v>
      </c>
    </row>
    <row r="50" spans="1:11" x14ac:dyDescent="0.35">
      <c r="A50" s="411" t="s">
        <v>254</v>
      </c>
      <c r="B50" s="450" t="s">
        <v>255</v>
      </c>
      <c r="C50" s="1936" cm="1">
        <f t="array" ref="C50">IF($C$13="mm/dd/yyyy",0,_xlfn.XLOOKUP($C$13,_xlfn.CHOOSECOLS('FS-Income Statement 3.05'!$C$5:$Q$5,3,7,11,15),_xlfn.XLOOKUP(A50,'FS-Income Statement 3.05'!$A$7:$A$203,_xlfn.CHOOSECOLS('FS-Income Statement 3.05'!$C$7:$Q$203,3,7,11,15)),"Manual Entry"))</f>
        <v>0</v>
      </c>
      <c r="D50" s="988" cm="1">
        <f t="array" ref="D50">IF($D$13="mm/dd/yyyy",0,_xlfn.XLOOKUP($D$13,_xlfn.CHOOSECOLS('FS-Income Statement 3.05'!$C$5:$Q$5,3,7,11,15),_xlfn.XLOOKUP(A50,'FS-Income Statement 3.05'!$A$7:$A$203,_xlfn.CHOOSECOLS('FS-Income Statement 3.05'!$C$7:$Q$203,3,7,11,15))))</f>
        <v>0</v>
      </c>
      <c r="E50" s="2053">
        <f t="shared" si="24"/>
        <v>0</v>
      </c>
      <c r="F50" s="2054">
        <f t="shared" si="25"/>
        <v>0</v>
      </c>
      <c r="G50" s="2055">
        <f t="shared" si="26"/>
        <v>0</v>
      </c>
      <c r="H50" s="2055">
        <f t="shared" si="27"/>
        <v>0</v>
      </c>
      <c r="I50" s="2055">
        <f t="shared" si="28"/>
        <v>0</v>
      </c>
      <c r="J50" s="2054">
        <f t="shared" si="29"/>
        <v>0</v>
      </c>
      <c r="K50" s="991" t="str">
        <f t="shared" si="30"/>
        <v>No</v>
      </c>
    </row>
    <row r="51" spans="1:11" x14ac:dyDescent="0.35">
      <c r="A51" s="411" t="s">
        <v>256</v>
      </c>
      <c r="B51" s="450" t="s">
        <v>257</v>
      </c>
      <c r="C51" s="1936" cm="1">
        <f t="array" ref="C51">IF($C$13="mm/dd/yyyy",0,_xlfn.XLOOKUP($C$13,_xlfn.CHOOSECOLS('FS-Income Statement 3.05'!$C$5:$Q$5,3,7,11,15),_xlfn.XLOOKUP(A51,'FS-Income Statement 3.05'!$A$7:$A$203,_xlfn.CHOOSECOLS('FS-Income Statement 3.05'!$C$7:$Q$203,3,7,11,15)),"Manual Entry"))</f>
        <v>0</v>
      </c>
      <c r="D51" s="988" cm="1">
        <f t="array" ref="D51">IF($D$13="mm/dd/yyyy",0,_xlfn.XLOOKUP($D$13,_xlfn.CHOOSECOLS('FS-Income Statement 3.05'!$C$5:$Q$5,3,7,11,15),_xlfn.XLOOKUP(A51,'FS-Income Statement 3.05'!$A$7:$A$203,_xlfn.CHOOSECOLS('FS-Income Statement 3.05'!$C$7:$Q$203,3,7,11,15))))</f>
        <v>0</v>
      </c>
      <c r="E51" s="2053">
        <f t="shared" si="24"/>
        <v>0</v>
      </c>
      <c r="F51" s="2054">
        <f t="shared" si="25"/>
        <v>0</v>
      </c>
      <c r="G51" s="2055">
        <f t="shared" si="26"/>
        <v>0</v>
      </c>
      <c r="H51" s="2055">
        <f t="shared" si="27"/>
        <v>0</v>
      </c>
      <c r="I51" s="2055">
        <f t="shared" si="28"/>
        <v>0</v>
      </c>
      <c r="J51" s="2054">
        <f t="shared" si="29"/>
        <v>0</v>
      </c>
      <c r="K51" s="991" t="str">
        <f t="shared" si="30"/>
        <v>No</v>
      </c>
    </row>
    <row r="52" spans="1:11" x14ac:dyDescent="0.35">
      <c r="A52" s="411" t="s">
        <v>258</v>
      </c>
      <c r="B52" s="450" t="s">
        <v>259</v>
      </c>
      <c r="C52" s="1936" cm="1">
        <f t="array" ref="C52">IF($C$13="mm/dd/yyyy",0,_xlfn.XLOOKUP($C$13,_xlfn.CHOOSECOLS('FS-Income Statement 3.05'!$C$5:$Q$5,3,7,11,15),_xlfn.XLOOKUP(A52,'FS-Income Statement 3.05'!$A$7:$A$203,_xlfn.CHOOSECOLS('FS-Income Statement 3.05'!$C$7:$Q$203,3,7,11,15)),"Manual Entry"))</f>
        <v>0</v>
      </c>
      <c r="D52" s="988" cm="1">
        <f t="array" ref="D52">IF($D$13="mm/dd/yyyy",0,_xlfn.XLOOKUP($D$13,_xlfn.CHOOSECOLS('FS-Income Statement 3.05'!$C$5:$Q$5,3,7,11,15),_xlfn.XLOOKUP(A52,'FS-Income Statement 3.05'!$A$7:$A$203,_xlfn.CHOOSECOLS('FS-Income Statement 3.05'!$C$7:$Q$203,3,7,11,15))))</f>
        <v>0</v>
      </c>
      <c r="E52" s="2053">
        <f t="shared" si="24"/>
        <v>0</v>
      </c>
      <c r="F52" s="2054">
        <f t="shared" si="25"/>
        <v>0</v>
      </c>
      <c r="G52" s="2055">
        <f t="shared" si="26"/>
        <v>0</v>
      </c>
      <c r="H52" s="2055">
        <f t="shared" si="27"/>
        <v>0</v>
      </c>
      <c r="I52" s="2055">
        <f t="shared" si="28"/>
        <v>0</v>
      </c>
      <c r="J52" s="2054">
        <f t="shared" si="29"/>
        <v>0</v>
      </c>
      <c r="K52" s="991" t="str">
        <f t="shared" si="30"/>
        <v>No</v>
      </c>
    </row>
    <row r="53" spans="1:11" x14ac:dyDescent="0.35">
      <c r="A53" s="411" t="s">
        <v>260</v>
      </c>
      <c r="B53" s="450" t="s">
        <v>261</v>
      </c>
      <c r="C53" s="1936" cm="1">
        <f t="array" ref="C53">IF($C$13="mm/dd/yyyy",0,_xlfn.XLOOKUP($C$13,_xlfn.CHOOSECOLS('FS-Income Statement 3.05'!$C$5:$Q$5,3,7,11,15),_xlfn.XLOOKUP(A53,'FS-Income Statement 3.05'!$A$7:$A$203,_xlfn.CHOOSECOLS('FS-Income Statement 3.05'!$C$7:$Q$203,3,7,11,15)),"Manual Entry"))</f>
        <v>0</v>
      </c>
      <c r="D53" s="988" cm="1">
        <f t="array" ref="D53">IF($D$13="mm/dd/yyyy",0,_xlfn.XLOOKUP($D$13,_xlfn.CHOOSECOLS('FS-Income Statement 3.05'!$C$5:$Q$5,3,7,11,15),_xlfn.XLOOKUP(A53,'FS-Income Statement 3.05'!$A$7:$A$203,_xlfn.CHOOSECOLS('FS-Income Statement 3.05'!$C$7:$Q$203,3,7,11,15))))</f>
        <v>0</v>
      </c>
      <c r="E53" s="2053">
        <f t="shared" si="24"/>
        <v>0</v>
      </c>
      <c r="F53" s="2054">
        <f t="shared" si="25"/>
        <v>0</v>
      </c>
      <c r="G53" s="2055">
        <f t="shared" si="26"/>
        <v>0</v>
      </c>
      <c r="H53" s="2055">
        <f t="shared" si="27"/>
        <v>0</v>
      </c>
      <c r="I53" s="2055">
        <f t="shared" si="28"/>
        <v>0</v>
      </c>
      <c r="J53" s="2054">
        <f t="shared" si="29"/>
        <v>0</v>
      </c>
      <c r="K53" s="991" t="str">
        <f t="shared" si="30"/>
        <v>No</v>
      </c>
    </row>
    <row r="54" spans="1:11" x14ac:dyDescent="0.35">
      <c r="A54" s="411" t="s">
        <v>262</v>
      </c>
      <c r="B54" s="450" t="s">
        <v>263</v>
      </c>
      <c r="C54" s="1936" cm="1">
        <f t="array" ref="C54">IF($C$13="mm/dd/yyyy",0,_xlfn.XLOOKUP($C$13,_xlfn.CHOOSECOLS('FS-Income Statement 3.05'!$C$5:$Q$5,3,7,11,15),_xlfn.XLOOKUP(A54,'FS-Income Statement 3.05'!$A$7:$A$203,_xlfn.CHOOSECOLS('FS-Income Statement 3.05'!$C$7:$Q$203,3,7,11,15)),"Manual Entry"))</f>
        <v>0</v>
      </c>
      <c r="D54" s="988" cm="1">
        <f t="array" ref="D54">IF($D$13="mm/dd/yyyy",0,_xlfn.XLOOKUP($D$13,_xlfn.CHOOSECOLS('FS-Income Statement 3.05'!$C$5:$Q$5,3,7,11,15),_xlfn.XLOOKUP(A54,'FS-Income Statement 3.05'!$A$7:$A$203,_xlfn.CHOOSECOLS('FS-Income Statement 3.05'!$C$7:$Q$203,3,7,11,15))))</f>
        <v>0</v>
      </c>
      <c r="E54" s="2053">
        <f t="shared" si="24"/>
        <v>0</v>
      </c>
      <c r="F54" s="2054">
        <f t="shared" si="25"/>
        <v>0</v>
      </c>
      <c r="G54" s="2055">
        <f t="shared" si="26"/>
        <v>0</v>
      </c>
      <c r="H54" s="2055">
        <f t="shared" si="27"/>
        <v>0</v>
      </c>
      <c r="I54" s="2055">
        <f t="shared" si="28"/>
        <v>0</v>
      </c>
      <c r="J54" s="2054">
        <f t="shared" si="29"/>
        <v>0</v>
      </c>
      <c r="K54" s="991" t="str">
        <f t="shared" si="30"/>
        <v>No</v>
      </c>
    </row>
    <row r="55" spans="1:11" x14ac:dyDescent="0.35">
      <c r="A55" s="411" t="s">
        <v>264</v>
      </c>
      <c r="B55" s="450" t="s">
        <v>265</v>
      </c>
      <c r="C55" s="1936" cm="1">
        <f t="array" ref="C55">IF($C$13="mm/dd/yyyy",0,_xlfn.XLOOKUP($C$13,_xlfn.CHOOSECOLS('FS-Income Statement 3.05'!$C$5:$Q$5,3,7,11,15),_xlfn.XLOOKUP(A55,'FS-Income Statement 3.05'!$A$7:$A$203,_xlfn.CHOOSECOLS('FS-Income Statement 3.05'!$C$7:$Q$203,3,7,11,15)),"Manual Entry"))</f>
        <v>0</v>
      </c>
      <c r="D55" s="988" cm="1">
        <f t="array" ref="D55">IF($D$13="mm/dd/yyyy",0,_xlfn.XLOOKUP($D$13,_xlfn.CHOOSECOLS('FS-Income Statement 3.05'!$C$5:$Q$5,3,7,11,15),_xlfn.XLOOKUP(A55,'FS-Income Statement 3.05'!$A$7:$A$203,_xlfn.CHOOSECOLS('FS-Income Statement 3.05'!$C$7:$Q$203,3,7,11,15))))</f>
        <v>0</v>
      </c>
      <c r="E55" s="2053">
        <f t="shared" si="24"/>
        <v>0</v>
      </c>
      <c r="F55" s="2054">
        <f t="shared" si="25"/>
        <v>0</v>
      </c>
      <c r="G55" s="2055">
        <f t="shared" si="26"/>
        <v>0</v>
      </c>
      <c r="H55" s="2055">
        <f t="shared" si="27"/>
        <v>0</v>
      </c>
      <c r="I55" s="2055">
        <f t="shared" si="28"/>
        <v>0</v>
      </c>
      <c r="J55" s="2054">
        <f t="shared" si="29"/>
        <v>0</v>
      </c>
      <c r="K55" s="991" t="str">
        <f t="shared" si="30"/>
        <v>No</v>
      </c>
    </row>
    <row r="56" spans="1:11" ht="15" thickBot="1" x14ac:dyDescent="0.4">
      <c r="A56" s="411" t="s">
        <v>266</v>
      </c>
      <c r="B56" s="450" t="s">
        <v>267</v>
      </c>
      <c r="C56" s="1936" cm="1">
        <f t="array" ref="C56">IF($C$13="mm/dd/yyyy",0,_xlfn.XLOOKUP($C$13,_xlfn.CHOOSECOLS('FS-Income Statement 3.05'!$C$5:$Q$5,3,7,11,15),_xlfn.XLOOKUP(A56,'FS-Income Statement 3.05'!$A$7:$A$203,_xlfn.CHOOSECOLS('FS-Income Statement 3.05'!$C$7:$Q$203,3,7,11,15)),"Manual Entry"))</f>
        <v>0</v>
      </c>
      <c r="D56" s="988" cm="1">
        <f t="array" ref="D56">IF($D$13="mm/dd/yyyy",0,_xlfn.XLOOKUP($D$13,_xlfn.CHOOSECOLS('FS-Income Statement 3.05'!$C$5:$Q$5,3,7,11,15),_xlfn.XLOOKUP(A56,'FS-Income Statement 3.05'!$A$7:$A$203,_xlfn.CHOOSECOLS('FS-Income Statement 3.05'!$C$7:$Q$203,3,7,11,15))))</f>
        <v>0</v>
      </c>
      <c r="E56" s="2053">
        <f t="shared" si="24"/>
        <v>0</v>
      </c>
      <c r="F56" s="2054">
        <f t="shared" si="25"/>
        <v>0</v>
      </c>
      <c r="G56" s="2055">
        <f t="shared" si="26"/>
        <v>0</v>
      </c>
      <c r="H56" s="2055">
        <f t="shared" si="27"/>
        <v>0</v>
      </c>
      <c r="I56" s="2055">
        <f t="shared" si="28"/>
        <v>0</v>
      </c>
      <c r="J56" s="2054">
        <f t="shared" si="29"/>
        <v>0</v>
      </c>
      <c r="K56" s="991" t="str">
        <f t="shared" si="30"/>
        <v>No</v>
      </c>
    </row>
    <row r="57" spans="1:11" ht="15" thickBot="1" x14ac:dyDescent="0.4">
      <c r="A57" s="999" t="s">
        <v>268</v>
      </c>
      <c r="B57" s="998" t="s">
        <v>269</v>
      </c>
      <c r="C57" s="1939">
        <f>SUM(C42:C56)</f>
        <v>0</v>
      </c>
      <c r="D57" s="996">
        <f>SUM(D42:D56)</f>
        <v>0</v>
      </c>
      <c r="E57" s="2059"/>
      <c r="F57" s="2060"/>
      <c r="G57" s="2060"/>
      <c r="H57" s="2060"/>
      <c r="I57" s="2060"/>
      <c r="J57" s="2060"/>
      <c r="K57" s="2061"/>
    </row>
    <row r="58" spans="1:11" x14ac:dyDescent="0.35">
      <c r="A58" s="989" t="s">
        <v>270</v>
      </c>
      <c r="B58" s="538"/>
      <c r="C58" s="1936"/>
      <c r="D58" s="988"/>
      <c r="E58" s="2027"/>
      <c r="F58" s="2029"/>
      <c r="G58" s="2029"/>
      <c r="H58" s="2029"/>
      <c r="I58" s="2029"/>
      <c r="J58" s="2029"/>
      <c r="K58" s="2050"/>
    </row>
    <row r="59" spans="1:11" x14ac:dyDescent="0.35">
      <c r="A59" s="411" t="s">
        <v>271</v>
      </c>
      <c r="B59" s="450" t="s">
        <v>272</v>
      </c>
      <c r="C59" s="1936" cm="1">
        <f t="array" ref="C59">IF($C$13="mm/dd/yyyy",0,_xlfn.XLOOKUP($C$13,_xlfn.CHOOSECOLS('FS-Income Statement 3.05'!$C$5:$Q$5,3,7,11,15),_xlfn.XLOOKUP(A59,'FS-Income Statement 3.05'!$A$7:$A$203,_xlfn.CHOOSECOLS('FS-Income Statement 3.05'!$C$7:$Q$203,3,7,11,15)),"Manual Entry"))</f>
        <v>0</v>
      </c>
      <c r="D59" s="988" cm="1">
        <f t="array" ref="D59">IF($D$13="mm/dd/yyyy",0,_xlfn.XLOOKUP($D$13,_xlfn.CHOOSECOLS('FS-Income Statement 3.05'!$C$5:$Q$5,3,7,11,15),_xlfn.XLOOKUP(A59,'FS-Income Statement 3.05'!$A$7:$A$203,_xlfn.CHOOSECOLS('FS-Income Statement 3.05'!$C$7:$Q$203,3,7,11,15))))</f>
        <v>0</v>
      </c>
      <c r="E59" s="2053">
        <f t="shared" ref="E59:E73" si="31">IF($C$32=0,0,C59/$C$32)</f>
        <v>0</v>
      </c>
      <c r="F59" s="2054">
        <f t="shared" ref="F59:F73" si="32">IF($D$32=0,0,D59/$D$32)</f>
        <v>0</v>
      </c>
      <c r="G59" s="2055">
        <f t="shared" ref="G59:G73" si="33">IFERROR(C59/$C$17,0)</f>
        <v>0</v>
      </c>
      <c r="H59" s="2055">
        <f t="shared" ref="H59:H73" si="34">IFERROR(D59/$D$17,0)</f>
        <v>0</v>
      </c>
      <c r="I59" s="2055">
        <f t="shared" ref="I59:I73" si="35">H59-G59</f>
        <v>0</v>
      </c>
      <c r="J59" s="2054">
        <f t="shared" ref="J59:J73" si="36">IF(OR(AND(C59=0,D59=0),C59="Manual Entry"),0%,IF(AND(G59=0,H59&lt;&gt;0),100%,IF(G59&lt;0,(H59+ABS(G59))/ABS(G59),H59/G59-1)))</f>
        <v>0</v>
      </c>
      <c r="K59" s="991" t="str">
        <f t="shared" ref="K59:K73" si="37">IF(OR(AND(J59&gt;=5%,F59&gt;=5%),AND(J59&gt;=5%,E59&gt;=5%),AND(J59&lt;=-5%,F59&lt;=-5%),AND(J59&lt;=-5%,E59&lt;=-5%),AND(J59&gt;=5%,F59&lt;=-5%),AND(J59&lt;=-5%,F59&gt;=5%),AND(J59&gt;=5%,E59&lt;=-5%),AND(J59&lt;=-5%,E59&gt;=5%)),"Yes","No")</f>
        <v>No</v>
      </c>
    </row>
    <row r="60" spans="1:11" x14ac:dyDescent="0.35">
      <c r="A60" s="411" t="s">
        <v>273</v>
      </c>
      <c r="B60" s="450" t="s">
        <v>274</v>
      </c>
      <c r="C60" s="1936" cm="1">
        <f t="array" ref="C60">IF($C$13="mm/dd/yyyy",0,_xlfn.XLOOKUP($C$13,_xlfn.CHOOSECOLS('FS-Income Statement 3.05'!$C$5:$Q$5,3,7,11,15),_xlfn.XLOOKUP(A60,'FS-Income Statement 3.05'!$A$7:$A$203,_xlfn.CHOOSECOLS('FS-Income Statement 3.05'!$C$7:$Q$203,3,7,11,15)),"Manual Entry"))</f>
        <v>0</v>
      </c>
      <c r="D60" s="988" cm="1">
        <f t="array" ref="D60">IF($D$13="mm/dd/yyyy",0,_xlfn.XLOOKUP($D$13,_xlfn.CHOOSECOLS('FS-Income Statement 3.05'!$C$5:$Q$5,3,7,11,15),_xlfn.XLOOKUP(A60,'FS-Income Statement 3.05'!$A$7:$A$203,_xlfn.CHOOSECOLS('FS-Income Statement 3.05'!$C$7:$Q$203,3,7,11,15))))</f>
        <v>0</v>
      </c>
      <c r="E60" s="2053">
        <f t="shared" si="31"/>
        <v>0</v>
      </c>
      <c r="F60" s="2054">
        <f t="shared" si="32"/>
        <v>0</v>
      </c>
      <c r="G60" s="2055">
        <f t="shared" si="33"/>
        <v>0</v>
      </c>
      <c r="H60" s="2055">
        <f t="shared" si="34"/>
        <v>0</v>
      </c>
      <c r="I60" s="2055">
        <f t="shared" si="35"/>
        <v>0</v>
      </c>
      <c r="J60" s="2054">
        <f t="shared" si="36"/>
        <v>0</v>
      </c>
      <c r="K60" s="991" t="str">
        <f t="shared" si="37"/>
        <v>No</v>
      </c>
    </row>
    <row r="61" spans="1:11" x14ac:dyDescent="0.35">
      <c r="A61" s="411" t="s">
        <v>275</v>
      </c>
      <c r="B61" s="450" t="s">
        <v>276</v>
      </c>
      <c r="C61" s="1936" cm="1">
        <f t="array" ref="C61">IF($C$13="mm/dd/yyyy",0,_xlfn.XLOOKUP($C$13,_xlfn.CHOOSECOLS('FS-Income Statement 3.05'!$C$5:$Q$5,3,7,11,15),_xlfn.XLOOKUP(A61,'FS-Income Statement 3.05'!$A$7:$A$203,_xlfn.CHOOSECOLS('FS-Income Statement 3.05'!$C$7:$Q$203,3,7,11,15)),"Manual Entry"))</f>
        <v>0</v>
      </c>
      <c r="D61" s="988" cm="1">
        <f t="array" ref="D61">IF($D$13="mm/dd/yyyy",0,_xlfn.XLOOKUP($D$13,_xlfn.CHOOSECOLS('FS-Income Statement 3.05'!$C$5:$Q$5,3,7,11,15),_xlfn.XLOOKUP(A61,'FS-Income Statement 3.05'!$A$7:$A$203,_xlfn.CHOOSECOLS('FS-Income Statement 3.05'!$C$7:$Q$203,3,7,11,15))))</f>
        <v>0</v>
      </c>
      <c r="E61" s="2053">
        <f t="shared" si="31"/>
        <v>0</v>
      </c>
      <c r="F61" s="2054">
        <f t="shared" si="32"/>
        <v>0</v>
      </c>
      <c r="G61" s="2055">
        <f t="shared" si="33"/>
        <v>0</v>
      </c>
      <c r="H61" s="2055">
        <f t="shared" si="34"/>
        <v>0</v>
      </c>
      <c r="I61" s="2055">
        <f t="shared" si="35"/>
        <v>0</v>
      </c>
      <c r="J61" s="2054">
        <f t="shared" si="36"/>
        <v>0</v>
      </c>
      <c r="K61" s="991" t="str">
        <f t="shared" si="37"/>
        <v>No</v>
      </c>
    </row>
    <row r="62" spans="1:11" x14ac:dyDescent="0.35">
      <c r="A62" s="411" t="s">
        <v>277</v>
      </c>
      <c r="B62" s="450" t="s">
        <v>278</v>
      </c>
      <c r="C62" s="1936" cm="1">
        <f t="array" ref="C62">IF($C$13="mm/dd/yyyy",0,_xlfn.XLOOKUP($C$13,_xlfn.CHOOSECOLS('FS-Income Statement 3.05'!$C$5:$Q$5,3,7,11,15),_xlfn.XLOOKUP(A62,'FS-Income Statement 3.05'!$A$7:$A$203,_xlfn.CHOOSECOLS('FS-Income Statement 3.05'!$C$7:$Q$203,3,7,11,15)),"Manual Entry"))</f>
        <v>0</v>
      </c>
      <c r="D62" s="988" cm="1">
        <f t="array" ref="D62">IF($D$13="mm/dd/yyyy",0,_xlfn.XLOOKUP($D$13,_xlfn.CHOOSECOLS('FS-Income Statement 3.05'!$C$5:$Q$5,3,7,11,15),_xlfn.XLOOKUP(A62,'FS-Income Statement 3.05'!$A$7:$A$203,_xlfn.CHOOSECOLS('FS-Income Statement 3.05'!$C$7:$Q$203,3,7,11,15))))</f>
        <v>0</v>
      </c>
      <c r="E62" s="2053">
        <f t="shared" si="31"/>
        <v>0</v>
      </c>
      <c r="F62" s="2054">
        <f t="shared" si="32"/>
        <v>0</v>
      </c>
      <c r="G62" s="2055">
        <f t="shared" si="33"/>
        <v>0</v>
      </c>
      <c r="H62" s="2055">
        <f t="shared" si="34"/>
        <v>0</v>
      </c>
      <c r="I62" s="2055">
        <f t="shared" si="35"/>
        <v>0</v>
      </c>
      <c r="J62" s="2054">
        <f t="shared" si="36"/>
        <v>0</v>
      </c>
      <c r="K62" s="991" t="str">
        <f t="shared" si="37"/>
        <v>No</v>
      </c>
    </row>
    <row r="63" spans="1:11" x14ac:dyDescent="0.35">
      <c r="A63" s="411" t="s">
        <v>279</v>
      </c>
      <c r="B63" s="450" t="s">
        <v>280</v>
      </c>
      <c r="C63" s="1936" cm="1">
        <f t="array" ref="C63">IF($C$13="mm/dd/yyyy",0,_xlfn.XLOOKUP($C$13,_xlfn.CHOOSECOLS('FS-Income Statement 3.05'!$C$5:$Q$5,3,7,11,15),_xlfn.XLOOKUP(A63,'FS-Income Statement 3.05'!$A$7:$A$203,_xlfn.CHOOSECOLS('FS-Income Statement 3.05'!$C$7:$Q$203,3,7,11,15)),"Manual Entry"))</f>
        <v>0</v>
      </c>
      <c r="D63" s="988" cm="1">
        <f t="array" ref="D63">IF($D$13="mm/dd/yyyy",0,_xlfn.XLOOKUP($D$13,_xlfn.CHOOSECOLS('FS-Income Statement 3.05'!$C$5:$Q$5,3,7,11,15),_xlfn.XLOOKUP(A63,'FS-Income Statement 3.05'!$A$7:$A$203,_xlfn.CHOOSECOLS('FS-Income Statement 3.05'!$C$7:$Q$203,3,7,11,15))))</f>
        <v>0</v>
      </c>
      <c r="E63" s="2053">
        <f t="shared" si="31"/>
        <v>0</v>
      </c>
      <c r="F63" s="2054">
        <f t="shared" si="32"/>
        <v>0</v>
      </c>
      <c r="G63" s="2055">
        <f t="shared" si="33"/>
        <v>0</v>
      </c>
      <c r="H63" s="2055">
        <f t="shared" si="34"/>
        <v>0</v>
      </c>
      <c r="I63" s="2055">
        <f t="shared" si="35"/>
        <v>0</v>
      </c>
      <c r="J63" s="2054">
        <f t="shared" si="36"/>
        <v>0</v>
      </c>
      <c r="K63" s="991" t="str">
        <f t="shared" si="37"/>
        <v>No</v>
      </c>
    </row>
    <row r="64" spans="1:11" x14ac:dyDescent="0.35">
      <c r="A64" s="411" t="s">
        <v>281</v>
      </c>
      <c r="B64" s="450" t="s">
        <v>282</v>
      </c>
      <c r="C64" s="1936" cm="1">
        <f t="array" ref="C64">IF($C$13="mm/dd/yyyy",0,_xlfn.XLOOKUP($C$13,_xlfn.CHOOSECOLS('FS-Income Statement 3.05'!$C$5:$Q$5,3,7,11,15),_xlfn.XLOOKUP(A64,'FS-Income Statement 3.05'!$A$7:$A$203,_xlfn.CHOOSECOLS('FS-Income Statement 3.05'!$C$7:$Q$203,3,7,11,15)),"Manual Entry"))</f>
        <v>0</v>
      </c>
      <c r="D64" s="988" cm="1">
        <f t="array" ref="D64">IF($D$13="mm/dd/yyyy",0,_xlfn.XLOOKUP($D$13,_xlfn.CHOOSECOLS('FS-Income Statement 3.05'!$C$5:$Q$5,3,7,11,15),_xlfn.XLOOKUP(A64,'FS-Income Statement 3.05'!$A$7:$A$203,_xlfn.CHOOSECOLS('FS-Income Statement 3.05'!$C$7:$Q$203,3,7,11,15))))</f>
        <v>0</v>
      </c>
      <c r="E64" s="2053">
        <f t="shared" si="31"/>
        <v>0</v>
      </c>
      <c r="F64" s="2054">
        <f t="shared" si="32"/>
        <v>0</v>
      </c>
      <c r="G64" s="2055">
        <f t="shared" si="33"/>
        <v>0</v>
      </c>
      <c r="H64" s="2055">
        <f t="shared" si="34"/>
        <v>0</v>
      </c>
      <c r="I64" s="2055">
        <f t="shared" si="35"/>
        <v>0</v>
      </c>
      <c r="J64" s="2054">
        <f t="shared" si="36"/>
        <v>0</v>
      </c>
      <c r="K64" s="991" t="str">
        <f t="shared" si="37"/>
        <v>No</v>
      </c>
    </row>
    <row r="65" spans="1:11" x14ac:dyDescent="0.35">
      <c r="A65" s="411" t="s">
        <v>283</v>
      </c>
      <c r="B65" s="450" t="s">
        <v>284</v>
      </c>
      <c r="C65" s="1936" cm="1">
        <f t="array" ref="C65">IF($C$13="mm/dd/yyyy",0,_xlfn.XLOOKUP($C$13,_xlfn.CHOOSECOLS('FS-Income Statement 3.05'!$C$5:$Q$5,3,7,11,15),_xlfn.XLOOKUP(A65,'FS-Income Statement 3.05'!$A$7:$A$203,_xlfn.CHOOSECOLS('FS-Income Statement 3.05'!$C$7:$Q$203,3,7,11,15)),"Manual Entry"))</f>
        <v>0</v>
      </c>
      <c r="D65" s="988" cm="1">
        <f t="array" ref="D65">IF($D$13="mm/dd/yyyy",0,_xlfn.XLOOKUP($D$13,_xlfn.CHOOSECOLS('FS-Income Statement 3.05'!$C$5:$Q$5,3,7,11,15),_xlfn.XLOOKUP(A65,'FS-Income Statement 3.05'!$A$7:$A$203,_xlfn.CHOOSECOLS('FS-Income Statement 3.05'!$C$7:$Q$203,3,7,11,15))))</f>
        <v>0</v>
      </c>
      <c r="E65" s="2053">
        <f t="shared" si="31"/>
        <v>0</v>
      </c>
      <c r="F65" s="2054">
        <f t="shared" si="32"/>
        <v>0</v>
      </c>
      <c r="G65" s="2055">
        <f t="shared" si="33"/>
        <v>0</v>
      </c>
      <c r="H65" s="2055">
        <f t="shared" si="34"/>
        <v>0</v>
      </c>
      <c r="I65" s="2055">
        <f t="shared" si="35"/>
        <v>0</v>
      </c>
      <c r="J65" s="2054">
        <f t="shared" si="36"/>
        <v>0</v>
      </c>
      <c r="K65" s="991" t="str">
        <f t="shared" si="37"/>
        <v>No</v>
      </c>
    </row>
    <row r="66" spans="1:11" x14ac:dyDescent="0.35">
      <c r="A66" s="411" t="s">
        <v>285</v>
      </c>
      <c r="B66" s="450" t="s">
        <v>286</v>
      </c>
      <c r="C66" s="1936" cm="1">
        <f t="array" ref="C66">IF($C$13="mm/dd/yyyy",0,_xlfn.XLOOKUP($C$13,_xlfn.CHOOSECOLS('FS-Income Statement 3.05'!$C$5:$Q$5,3,7,11,15),_xlfn.XLOOKUP(A66,'FS-Income Statement 3.05'!$A$7:$A$203,_xlfn.CHOOSECOLS('FS-Income Statement 3.05'!$C$7:$Q$203,3,7,11,15)),"Manual Entry"))</f>
        <v>0</v>
      </c>
      <c r="D66" s="988" cm="1">
        <f t="array" ref="D66">IF($D$13="mm/dd/yyyy",0,_xlfn.XLOOKUP($D$13,_xlfn.CHOOSECOLS('FS-Income Statement 3.05'!$C$5:$Q$5,3,7,11,15),_xlfn.XLOOKUP(A66,'FS-Income Statement 3.05'!$A$7:$A$203,_xlfn.CHOOSECOLS('FS-Income Statement 3.05'!$C$7:$Q$203,3,7,11,15))))</f>
        <v>0</v>
      </c>
      <c r="E66" s="2053">
        <f t="shared" si="31"/>
        <v>0</v>
      </c>
      <c r="F66" s="2054">
        <f t="shared" si="32"/>
        <v>0</v>
      </c>
      <c r="G66" s="2055">
        <f t="shared" si="33"/>
        <v>0</v>
      </c>
      <c r="H66" s="2055">
        <f t="shared" si="34"/>
        <v>0</v>
      </c>
      <c r="I66" s="2055">
        <f t="shared" si="35"/>
        <v>0</v>
      </c>
      <c r="J66" s="2054">
        <f t="shared" si="36"/>
        <v>0</v>
      </c>
      <c r="K66" s="991" t="str">
        <f t="shared" si="37"/>
        <v>No</v>
      </c>
    </row>
    <row r="67" spans="1:11" x14ac:dyDescent="0.35">
      <c r="A67" s="411" t="s">
        <v>287</v>
      </c>
      <c r="B67" s="450" t="s">
        <v>288</v>
      </c>
      <c r="C67" s="1936" cm="1">
        <f t="array" ref="C67">IF($C$13="mm/dd/yyyy",0,_xlfn.XLOOKUP($C$13,_xlfn.CHOOSECOLS('FS-Income Statement 3.05'!$C$5:$Q$5,3,7,11,15),_xlfn.XLOOKUP(A67,'FS-Income Statement 3.05'!$A$7:$A$203,_xlfn.CHOOSECOLS('FS-Income Statement 3.05'!$C$7:$Q$203,3,7,11,15)),"Manual Entry"))</f>
        <v>0</v>
      </c>
      <c r="D67" s="988" cm="1">
        <f t="array" ref="D67">IF($D$13="mm/dd/yyyy",0,_xlfn.XLOOKUP($D$13,_xlfn.CHOOSECOLS('FS-Income Statement 3.05'!$C$5:$Q$5,3,7,11,15),_xlfn.XLOOKUP(A67,'FS-Income Statement 3.05'!$A$7:$A$203,_xlfn.CHOOSECOLS('FS-Income Statement 3.05'!$C$7:$Q$203,3,7,11,15))))</f>
        <v>0</v>
      </c>
      <c r="E67" s="2053">
        <f t="shared" si="31"/>
        <v>0</v>
      </c>
      <c r="F67" s="2054">
        <f t="shared" si="32"/>
        <v>0</v>
      </c>
      <c r="G67" s="2055">
        <f t="shared" si="33"/>
        <v>0</v>
      </c>
      <c r="H67" s="2055">
        <f t="shared" si="34"/>
        <v>0</v>
      </c>
      <c r="I67" s="2055">
        <f t="shared" si="35"/>
        <v>0</v>
      </c>
      <c r="J67" s="2054">
        <f t="shared" si="36"/>
        <v>0</v>
      </c>
      <c r="K67" s="991" t="str">
        <f t="shared" si="37"/>
        <v>No</v>
      </c>
    </row>
    <row r="68" spans="1:11" x14ac:dyDescent="0.35">
      <c r="A68" s="411" t="s">
        <v>289</v>
      </c>
      <c r="B68" s="450" t="s">
        <v>290</v>
      </c>
      <c r="C68" s="1936" cm="1">
        <f t="array" ref="C68">IF($C$13="mm/dd/yyyy",0,_xlfn.XLOOKUP($C$13,_xlfn.CHOOSECOLS('FS-Income Statement 3.05'!$C$5:$Q$5,3,7,11,15),_xlfn.XLOOKUP(A68,'FS-Income Statement 3.05'!$A$7:$A$203,_xlfn.CHOOSECOLS('FS-Income Statement 3.05'!$C$7:$Q$203,3,7,11,15)),"Manual Entry"))</f>
        <v>0</v>
      </c>
      <c r="D68" s="988" cm="1">
        <f t="array" ref="D68">IF($D$13="mm/dd/yyyy",0,_xlfn.XLOOKUP($D$13,_xlfn.CHOOSECOLS('FS-Income Statement 3.05'!$C$5:$Q$5,3,7,11,15),_xlfn.XLOOKUP(A68,'FS-Income Statement 3.05'!$A$7:$A$203,_xlfn.CHOOSECOLS('FS-Income Statement 3.05'!$C$7:$Q$203,3,7,11,15))))</f>
        <v>0</v>
      </c>
      <c r="E68" s="2053">
        <f t="shared" si="31"/>
        <v>0</v>
      </c>
      <c r="F68" s="2054">
        <f t="shared" si="32"/>
        <v>0</v>
      </c>
      <c r="G68" s="2055">
        <f t="shared" si="33"/>
        <v>0</v>
      </c>
      <c r="H68" s="2055">
        <f t="shared" si="34"/>
        <v>0</v>
      </c>
      <c r="I68" s="2055">
        <f t="shared" si="35"/>
        <v>0</v>
      </c>
      <c r="J68" s="2054">
        <f t="shared" si="36"/>
        <v>0</v>
      </c>
      <c r="K68" s="991" t="str">
        <f t="shared" si="37"/>
        <v>No</v>
      </c>
    </row>
    <row r="69" spans="1:11" x14ac:dyDescent="0.35">
      <c r="A69" s="411" t="s">
        <v>291</v>
      </c>
      <c r="B69" s="450" t="s">
        <v>292</v>
      </c>
      <c r="C69" s="1936" cm="1">
        <f t="array" ref="C69">IF($C$13="mm/dd/yyyy",0,_xlfn.XLOOKUP($C$13,_xlfn.CHOOSECOLS('FS-Income Statement 3.05'!$C$5:$Q$5,3,7,11,15),_xlfn.XLOOKUP(A69,'FS-Income Statement 3.05'!$A$7:$A$203,_xlfn.CHOOSECOLS('FS-Income Statement 3.05'!$C$7:$Q$203,3,7,11,15)),"Manual Entry"))</f>
        <v>0</v>
      </c>
      <c r="D69" s="988" cm="1">
        <f t="array" ref="D69">IF($D$13="mm/dd/yyyy",0,_xlfn.XLOOKUP($D$13,_xlfn.CHOOSECOLS('FS-Income Statement 3.05'!$C$5:$Q$5,3,7,11,15),_xlfn.XLOOKUP(A69,'FS-Income Statement 3.05'!$A$7:$A$203,_xlfn.CHOOSECOLS('FS-Income Statement 3.05'!$C$7:$Q$203,3,7,11,15))))</f>
        <v>0</v>
      </c>
      <c r="E69" s="2053">
        <f t="shared" si="31"/>
        <v>0</v>
      </c>
      <c r="F69" s="2054">
        <f t="shared" si="32"/>
        <v>0</v>
      </c>
      <c r="G69" s="2055">
        <f t="shared" si="33"/>
        <v>0</v>
      </c>
      <c r="H69" s="2055">
        <f t="shared" si="34"/>
        <v>0</v>
      </c>
      <c r="I69" s="2055">
        <f t="shared" si="35"/>
        <v>0</v>
      </c>
      <c r="J69" s="2054">
        <f t="shared" si="36"/>
        <v>0</v>
      </c>
      <c r="K69" s="991" t="str">
        <f t="shared" si="37"/>
        <v>No</v>
      </c>
    </row>
    <row r="70" spans="1:11" x14ac:dyDescent="0.35">
      <c r="A70" s="411" t="s">
        <v>293</v>
      </c>
      <c r="B70" s="450" t="s">
        <v>294</v>
      </c>
      <c r="C70" s="1936" cm="1">
        <f t="array" ref="C70">IF($C$13="mm/dd/yyyy",0,_xlfn.XLOOKUP($C$13,_xlfn.CHOOSECOLS('FS-Income Statement 3.05'!$C$5:$Q$5,3,7,11,15),_xlfn.XLOOKUP(A70,'FS-Income Statement 3.05'!$A$7:$A$203,_xlfn.CHOOSECOLS('FS-Income Statement 3.05'!$C$7:$Q$203,3,7,11,15)),"Manual Entry"))</f>
        <v>0</v>
      </c>
      <c r="D70" s="988" cm="1">
        <f t="array" ref="D70">IF($D$13="mm/dd/yyyy",0,_xlfn.XLOOKUP($D$13,_xlfn.CHOOSECOLS('FS-Income Statement 3.05'!$C$5:$Q$5,3,7,11,15),_xlfn.XLOOKUP(A70,'FS-Income Statement 3.05'!$A$7:$A$203,_xlfn.CHOOSECOLS('FS-Income Statement 3.05'!$C$7:$Q$203,3,7,11,15))))</f>
        <v>0</v>
      </c>
      <c r="E70" s="2053">
        <f t="shared" si="31"/>
        <v>0</v>
      </c>
      <c r="F70" s="2054">
        <f t="shared" si="32"/>
        <v>0</v>
      </c>
      <c r="G70" s="2055">
        <f t="shared" si="33"/>
        <v>0</v>
      </c>
      <c r="H70" s="2055">
        <f t="shared" si="34"/>
        <v>0</v>
      </c>
      <c r="I70" s="2055">
        <f t="shared" si="35"/>
        <v>0</v>
      </c>
      <c r="J70" s="2054">
        <f t="shared" si="36"/>
        <v>0</v>
      </c>
      <c r="K70" s="991" t="str">
        <f t="shared" si="37"/>
        <v>No</v>
      </c>
    </row>
    <row r="71" spans="1:11" x14ac:dyDescent="0.35">
      <c r="A71" s="411" t="s">
        <v>295</v>
      </c>
      <c r="B71" s="450" t="s">
        <v>296</v>
      </c>
      <c r="C71" s="1936" cm="1">
        <f t="array" ref="C71">IF($C$13="mm/dd/yyyy",0,_xlfn.XLOOKUP($C$13,_xlfn.CHOOSECOLS('FS-Income Statement 3.05'!$C$5:$Q$5,3,7,11,15),_xlfn.XLOOKUP(A71,'FS-Income Statement 3.05'!$A$7:$A$203,_xlfn.CHOOSECOLS('FS-Income Statement 3.05'!$C$7:$Q$203,3,7,11,15)),"Manual Entry"))</f>
        <v>0</v>
      </c>
      <c r="D71" s="988" cm="1">
        <f t="array" ref="D71">IF($D$13="mm/dd/yyyy",0,_xlfn.XLOOKUP($D$13,_xlfn.CHOOSECOLS('FS-Income Statement 3.05'!$C$5:$Q$5,3,7,11,15),_xlfn.XLOOKUP(A71,'FS-Income Statement 3.05'!$A$7:$A$203,_xlfn.CHOOSECOLS('FS-Income Statement 3.05'!$C$7:$Q$203,3,7,11,15))))</f>
        <v>0</v>
      </c>
      <c r="E71" s="2053">
        <f t="shared" si="31"/>
        <v>0</v>
      </c>
      <c r="F71" s="2054">
        <f t="shared" si="32"/>
        <v>0</v>
      </c>
      <c r="G71" s="2055">
        <f t="shared" si="33"/>
        <v>0</v>
      </c>
      <c r="H71" s="2055">
        <f t="shared" si="34"/>
        <v>0</v>
      </c>
      <c r="I71" s="2055">
        <f t="shared" si="35"/>
        <v>0</v>
      </c>
      <c r="J71" s="2054">
        <f t="shared" si="36"/>
        <v>0</v>
      </c>
      <c r="K71" s="991" t="str">
        <f t="shared" si="37"/>
        <v>No</v>
      </c>
    </row>
    <row r="72" spans="1:11" x14ac:dyDescent="0.35">
      <c r="A72" s="411" t="s">
        <v>297</v>
      </c>
      <c r="B72" s="450" t="s">
        <v>298</v>
      </c>
      <c r="C72" s="1936" cm="1">
        <f t="array" ref="C72">IF($C$13="mm/dd/yyyy",0,_xlfn.XLOOKUP($C$13,_xlfn.CHOOSECOLS('FS-Income Statement 3.05'!$C$5:$Q$5,3,7,11,15),_xlfn.XLOOKUP(A72,'FS-Income Statement 3.05'!$A$7:$A$203,_xlfn.CHOOSECOLS('FS-Income Statement 3.05'!$C$7:$Q$203,3,7,11,15)),"Manual Entry"))</f>
        <v>0</v>
      </c>
      <c r="D72" s="988" cm="1">
        <f t="array" ref="D72">IF($D$13="mm/dd/yyyy",0,_xlfn.XLOOKUP($D$13,_xlfn.CHOOSECOLS('FS-Income Statement 3.05'!$C$5:$Q$5,3,7,11,15),_xlfn.XLOOKUP(A72,'FS-Income Statement 3.05'!$A$7:$A$203,_xlfn.CHOOSECOLS('FS-Income Statement 3.05'!$C$7:$Q$203,3,7,11,15))))</f>
        <v>0</v>
      </c>
      <c r="E72" s="2053">
        <f t="shared" si="31"/>
        <v>0</v>
      </c>
      <c r="F72" s="2054">
        <f t="shared" si="32"/>
        <v>0</v>
      </c>
      <c r="G72" s="2055">
        <f t="shared" si="33"/>
        <v>0</v>
      </c>
      <c r="H72" s="2055">
        <f t="shared" si="34"/>
        <v>0</v>
      </c>
      <c r="I72" s="2055">
        <f t="shared" si="35"/>
        <v>0</v>
      </c>
      <c r="J72" s="2054">
        <f t="shared" si="36"/>
        <v>0</v>
      </c>
      <c r="K72" s="991" t="str">
        <f t="shared" si="37"/>
        <v>No</v>
      </c>
    </row>
    <row r="73" spans="1:11" ht="15" thickBot="1" x14ac:dyDescent="0.4">
      <c r="A73" s="411" t="s">
        <v>299</v>
      </c>
      <c r="B73" s="450" t="s">
        <v>300</v>
      </c>
      <c r="C73" s="1936" cm="1">
        <f t="array" ref="C73">IF($C$13="mm/dd/yyyy",0,_xlfn.XLOOKUP($C$13,_xlfn.CHOOSECOLS('FS-Income Statement 3.05'!$C$5:$Q$5,3,7,11,15),_xlfn.XLOOKUP(A73,'FS-Income Statement 3.05'!$A$7:$A$203,_xlfn.CHOOSECOLS('FS-Income Statement 3.05'!$C$7:$Q$203,3,7,11,15)),"Manual Entry"))</f>
        <v>0</v>
      </c>
      <c r="D73" s="988" cm="1">
        <f t="array" ref="D73">IF($D$13="mm/dd/yyyy",0,_xlfn.XLOOKUP($D$13,_xlfn.CHOOSECOLS('FS-Income Statement 3.05'!$C$5:$Q$5,3,7,11,15),_xlfn.XLOOKUP(A73,'FS-Income Statement 3.05'!$A$7:$A$203,_xlfn.CHOOSECOLS('FS-Income Statement 3.05'!$C$7:$Q$203,3,7,11,15))))</f>
        <v>0</v>
      </c>
      <c r="E73" s="2053">
        <f t="shared" si="31"/>
        <v>0</v>
      </c>
      <c r="F73" s="2054">
        <f t="shared" si="32"/>
        <v>0</v>
      </c>
      <c r="G73" s="2055">
        <f t="shared" si="33"/>
        <v>0</v>
      </c>
      <c r="H73" s="2055">
        <f t="shared" si="34"/>
        <v>0</v>
      </c>
      <c r="I73" s="2055">
        <f t="shared" si="35"/>
        <v>0</v>
      </c>
      <c r="J73" s="2054">
        <f t="shared" si="36"/>
        <v>0</v>
      </c>
      <c r="K73" s="991" t="str">
        <f t="shared" si="37"/>
        <v>No</v>
      </c>
    </row>
    <row r="74" spans="1:11" ht="15" thickBot="1" x14ac:dyDescent="0.4">
      <c r="A74" s="994">
        <v>50389</v>
      </c>
      <c r="B74" s="998" t="s">
        <v>301</v>
      </c>
      <c r="C74" s="1939">
        <f>SUM(C59:C73)</f>
        <v>0</v>
      </c>
      <c r="D74" s="996">
        <f>SUM(D59:D73)</f>
        <v>0</v>
      </c>
      <c r="E74" s="2059"/>
      <c r="F74" s="2060"/>
      <c r="G74" s="2060"/>
      <c r="H74" s="2060"/>
      <c r="I74" s="2060"/>
      <c r="J74" s="2060"/>
      <c r="K74" s="2061"/>
    </row>
    <row r="75" spans="1:11" x14ac:dyDescent="0.35">
      <c r="A75" s="989" t="s">
        <v>302</v>
      </c>
      <c r="B75" s="538"/>
      <c r="C75" s="1936"/>
      <c r="D75" s="988"/>
      <c r="E75" s="2027"/>
      <c r="F75" s="2029"/>
      <c r="G75" s="2029"/>
      <c r="H75" s="2029"/>
      <c r="I75" s="2029"/>
      <c r="J75" s="2029"/>
      <c r="K75" s="2050"/>
    </row>
    <row r="76" spans="1:11" x14ac:dyDescent="0.35">
      <c r="A76" s="411" t="s">
        <v>303</v>
      </c>
      <c r="B76" s="450" t="s">
        <v>304</v>
      </c>
      <c r="C76" s="1936" cm="1">
        <f t="array" ref="C76">IF($C$13="mm/dd/yyyy",0,_xlfn.XLOOKUP($C$13,_xlfn.CHOOSECOLS('FS-Income Statement 3.05'!$C$5:$Q$5,3,7,11,15),_xlfn.XLOOKUP(A76,'FS-Income Statement 3.05'!$A$7:$A$203,_xlfn.CHOOSECOLS('FS-Income Statement 3.05'!$C$7:$Q$203,3,7,11,15)),"Manual Entry"))</f>
        <v>0</v>
      </c>
      <c r="D76" s="988" cm="1">
        <f t="array" ref="D76">IF($D$13="mm/dd/yyyy",0,_xlfn.XLOOKUP($D$13,_xlfn.CHOOSECOLS('FS-Income Statement 3.05'!$C$5:$Q$5,3,7,11,15),_xlfn.XLOOKUP(A76,'FS-Income Statement 3.05'!$A$7:$A$203,_xlfn.CHOOSECOLS('FS-Income Statement 3.05'!$C$7:$Q$203,3,7,11,15))))</f>
        <v>0</v>
      </c>
      <c r="E76" s="2053">
        <f t="shared" ref="E76:E95" si="38">IF($C$32=0,0,C76/$C$32)</f>
        <v>0</v>
      </c>
      <c r="F76" s="2054">
        <f t="shared" ref="F76:F95" si="39">IF($D$32=0,0,D76/$D$32)</f>
        <v>0</v>
      </c>
      <c r="G76" s="2055">
        <f t="shared" ref="G76:G95" si="40">IFERROR(C76/$C$17,0)</f>
        <v>0</v>
      </c>
      <c r="H76" s="2055">
        <f t="shared" ref="H76:H95" si="41">IFERROR(D76/$D$17,0)</f>
        <v>0</v>
      </c>
      <c r="I76" s="2055">
        <f t="shared" ref="I76:I95" si="42">H76-G76</f>
        <v>0</v>
      </c>
      <c r="J76" s="2054">
        <f t="shared" ref="J76:J95" si="43">IF(OR(AND(C76=0,D76=0),C76="Manual Entry"),0%,IF(AND(G76=0,H76&lt;&gt;0),100%,IF(G76&lt;0,(H76+ABS(G76))/ABS(G76),H76/G76-1)))</f>
        <v>0</v>
      </c>
      <c r="K76" s="991" t="str">
        <f t="shared" ref="K76:K95" si="44">IF(OR(AND(J76&gt;=5%,F76&gt;=5%),AND(J76&gt;=5%,E76&gt;=5%),AND(J76&lt;=-5%,F76&lt;=-5%),AND(J76&lt;=-5%,E76&lt;=-5%),AND(J76&gt;=5%,F76&lt;=-5%),AND(J76&lt;=-5%,F76&gt;=5%),AND(J76&gt;=5%,E76&lt;=-5%),AND(J76&lt;=-5%,E76&gt;=5%)),"Yes","No")</f>
        <v>No</v>
      </c>
    </row>
    <row r="77" spans="1:11" x14ac:dyDescent="0.35">
      <c r="A77" s="670" t="s">
        <v>305</v>
      </c>
      <c r="B77" s="28" t="s">
        <v>306</v>
      </c>
      <c r="C77" s="1936" cm="1">
        <f t="array" ref="C77">IF($C$13="mm/dd/yyyy",0,_xlfn.XLOOKUP($C$13,_xlfn.CHOOSECOLS('FS-Income Statement 3.05'!$C$5:$Q$5,3,7,11,15),_xlfn.XLOOKUP(A77,'FS-Income Statement 3.05'!$A$7:$A$203,_xlfn.CHOOSECOLS('FS-Income Statement 3.05'!$C$7:$Q$203,3,7,11,15)),"Manual Entry"))</f>
        <v>0</v>
      </c>
      <c r="D77" s="988" cm="1">
        <f t="array" ref="D77">IF($D$13="mm/dd/yyyy",0,_xlfn.XLOOKUP($D$13,_xlfn.CHOOSECOLS('FS-Income Statement 3.05'!$C$5:$Q$5,3,7,11,15),_xlfn.XLOOKUP(A77,'FS-Income Statement 3.05'!$A$7:$A$203,_xlfn.CHOOSECOLS('FS-Income Statement 3.05'!$C$7:$Q$203,3,7,11,15))))</f>
        <v>0</v>
      </c>
      <c r="E77" s="2053">
        <f t="shared" si="38"/>
        <v>0</v>
      </c>
      <c r="F77" s="2054">
        <f t="shared" si="39"/>
        <v>0</v>
      </c>
      <c r="G77" s="2055">
        <f t="shared" si="40"/>
        <v>0</v>
      </c>
      <c r="H77" s="2055">
        <f t="shared" si="41"/>
        <v>0</v>
      </c>
      <c r="I77" s="2055">
        <f t="shared" si="42"/>
        <v>0</v>
      </c>
      <c r="J77" s="2054">
        <f t="shared" si="43"/>
        <v>0</v>
      </c>
      <c r="K77" s="991" t="str">
        <f>IF(OR(AND(J77&gt;=5%,F77&gt;=5%),AND(J77&gt;=5%,E77&gt;=5%),AND(J77&lt;=-5%,F77&lt;=-5%),AND(J77&lt;=-5%,E77&lt;=-5%),AND(J77&gt;=5%,F77&lt;=-5%),AND(J77&lt;=-5%,F77&gt;=5%),AND(J77&gt;=5%,E77&lt;=-5%),AND(J77&lt;=-5%,E77&gt;=5%)),"Yes","No")</f>
        <v>No</v>
      </c>
    </row>
    <row r="78" spans="1:11" x14ac:dyDescent="0.35">
      <c r="A78" s="670" t="s">
        <v>307</v>
      </c>
      <c r="B78" s="28" t="s">
        <v>308</v>
      </c>
      <c r="C78" s="1936" cm="1">
        <f t="array" ref="C78">IF($C$13="mm/dd/yyyy",0,_xlfn.XLOOKUP($C$13,_xlfn.CHOOSECOLS('FS-Income Statement 3.05'!$C$5:$Q$5,3,7,11,15),_xlfn.XLOOKUP(A78,'FS-Income Statement 3.05'!$A$7:$A$203,_xlfn.CHOOSECOLS('FS-Income Statement 3.05'!$C$7:$Q$203,3,7,11,15)),"Manual Entry"))</f>
        <v>0</v>
      </c>
      <c r="D78" s="988" cm="1">
        <f t="array" ref="D78">IF($D$13="mm/dd/yyyy",0,_xlfn.XLOOKUP($D$13,_xlfn.CHOOSECOLS('FS-Income Statement 3.05'!$C$5:$Q$5,3,7,11,15),_xlfn.XLOOKUP(A78,'FS-Income Statement 3.05'!$A$7:$A$203,_xlfn.CHOOSECOLS('FS-Income Statement 3.05'!$C$7:$Q$203,3,7,11,15))))</f>
        <v>0</v>
      </c>
      <c r="E78" s="2053">
        <f t="shared" si="38"/>
        <v>0</v>
      </c>
      <c r="F78" s="2054">
        <f t="shared" si="39"/>
        <v>0</v>
      </c>
      <c r="G78" s="2055">
        <f t="shared" si="40"/>
        <v>0</v>
      </c>
      <c r="H78" s="2055">
        <f t="shared" si="41"/>
        <v>0</v>
      </c>
      <c r="I78" s="2055">
        <f t="shared" si="42"/>
        <v>0</v>
      </c>
      <c r="J78" s="2054">
        <f t="shared" si="43"/>
        <v>0</v>
      </c>
      <c r="K78" s="991" t="str">
        <f t="shared" ref="K78" si="45">IF(OR(AND(J78&gt;=5%,F78&gt;=5%),AND(J78&gt;=5%,E78&gt;=5%),AND(J78&lt;=-5%,F78&lt;=-5%),AND(J78&lt;=-5%,E78&lt;=-5%),AND(J78&gt;=5%,F78&lt;=-5%),AND(J78&lt;=-5%,F78&gt;=5%),AND(J78&gt;=5%,E78&lt;=-5%),AND(J78&lt;=-5%,E78&gt;=5%)),"Yes","No")</f>
        <v>No</v>
      </c>
    </row>
    <row r="79" spans="1:11" x14ac:dyDescent="0.35">
      <c r="A79" s="411" t="s">
        <v>309</v>
      </c>
      <c r="B79" s="450" t="s">
        <v>310</v>
      </c>
      <c r="C79" s="1936" cm="1">
        <f t="array" ref="C79">IF($C$13="mm/dd/yyyy",0,_xlfn.XLOOKUP($C$13,_xlfn.CHOOSECOLS('FS-Income Statement 3.05'!$C$5:$Q$5,3,7,11,15),_xlfn.XLOOKUP(A79,'FS-Income Statement 3.05'!$A$7:$A$203,_xlfn.CHOOSECOLS('FS-Income Statement 3.05'!$C$7:$Q$203,3,7,11,15)),"Manual Entry"))</f>
        <v>0</v>
      </c>
      <c r="D79" s="988" cm="1">
        <f t="array" ref="D79">IF($D$13="mm/dd/yyyy",0,_xlfn.XLOOKUP($D$13,_xlfn.CHOOSECOLS('FS-Income Statement 3.05'!$C$5:$Q$5,3,7,11,15),_xlfn.XLOOKUP(A79,'FS-Income Statement 3.05'!$A$7:$A$203,_xlfn.CHOOSECOLS('FS-Income Statement 3.05'!$C$7:$Q$203,3,7,11,15))))</f>
        <v>0</v>
      </c>
      <c r="E79" s="2053">
        <f t="shared" si="38"/>
        <v>0</v>
      </c>
      <c r="F79" s="2054">
        <f t="shared" si="39"/>
        <v>0</v>
      </c>
      <c r="G79" s="2055">
        <f t="shared" si="40"/>
        <v>0</v>
      </c>
      <c r="H79" s="2055">
        <f t="shared" si="41"/>
        <v>0</v>
      </c>
      <c r="I79" s="2055">
        <f t="shared" si="42"/>
        <v>0</v>
      </c>
      <c r="J79" s="2054">
        <f t="shared" si="43"/>
        <v>0</v>
      </c>
      <c r="K79" s="991" t="str">
        <f t="shared" si="44"/>
        <v>No</v>
      </c>
    </row>
    <row r="80" spans="1:11" x14ac:dyDescent="0.35">
      <c r="A80" s="411" t="s">
        <v>311</v>
      </c>
      <c r="B80" s="450" t="s">
        <v>312</v>
      </c>
      <c r="C80" s="1936" cm="1">
        <f t="array" ref="C80">IF($C$13="mm/dd/yyyy",0,_xlfn.XLOOKUP($C$13,_xlfn.CHOOSECOLS('FS-Income Statement 3.05'!$C$5:$Q$5,3,7,11,15),_xlfn.XLOOKUP(A80,'FS-Income Statement 3.05'!$A$7:$A$203,_xlfn.CHOOSECOLS('FS-Income Statement 3.05'!$C$7:$Q$203,3,7,11,15)),"Manual Entry"))</f>
        <v>0</v>
      </c>
      <c r="D80" s="988" cm="1">
        <f t="array" ref="D80">IF($D$13="mm/dd/yyyy",0,_xlfn.XLOOKUP($D$13,_xlfn.CHOOSECOLS('FS-Income Statement 3.05'!$C$5:$Q$5,3,7,11,15),_xlfn.XLOOKUP(A80,'FS-Income Statement 3.05'!$A$7:$A$203,_xlfn.CHOOSECOLS('FS-Income Statement 3.05'!$C$7:$Q$203,3,7,11,15))))</f>
        <v>0</v>
      </c>
      <c r="E80" s="2053">
        <f t="shared" si="38"/>
        <v>0</v>
      </c>
      <c r="F80" s="2054">
        <f t="shared" si="39"/>
        <v>0</v>
      </c>
      <c r="G80" s="2055">
        <f t="shared" si="40"/>
        <v>0</v>
      </c>
      <c r="H80" s="2055">
        <f t="shared" si="41"/>
        <v>0</v>
      </c>
      <c r="I80" s="2055">
        <f t="shared" si="42"/>
        <v>0</v>
      </c>
      <c r="J80" s="2054">
        <f t="shared" si="43"/>
        <v>0</v>
      </c>
      <c r="K80" s="991" t="str">
        <f t="shared" si="44"/>
        <v>No</v>
      </c>
    </row>
    <row r="81" spans="1:11" x14ac:dyDescent="0.35">
      <c r="A81" s="411" t="s">
        <v>313</v>
      </c>
      <c r="B81" s="450" t="s">
        <v>314</v>
      </c>
      <c r="C81" s="1936" cm="1">
        <f t="array" ref="C81">IF($C$13="mm/dd/yyyy",0,_xlfn.XLOOKUP($C$13,_xlfn.CHOOSECOLS('FS-Income Statement 3.05'!$C$5:$Q$5,3,7,11,15),_xlfn.XLOOKUP(A81,'FS-Income Statement 3.05'!$A$7:$A$203,_xlfn.CHOOSECOLS('FS-Income Statement 3.05'!$C$7:$Q$203,3,7,11,15)),"Manual Entry"))</f>
        <v>0</v>
      </c>
      <c r="D81" s="988" cm="1">
        <f t="array" ref="D81">IF($D$13="mm/dd/yyyy",0,_xlfn.XLOOKUP($D$13,_xlfn.CHOOSECOLS('FS-Income Statement 3.05'!$C$5:$Q$5,3,7,11,15),_xlfn.XLOOKUP(A81,'FS-Income Statement 3.05'!$A$7:$A$203,_xlfn.CHOOSECOLS('FS-Income Statement 3.05'!$C$7:$Q$203,3,7,11,15))))</f>
        <v>0</v>
      </c>
      <c r="E81" s="2053">
        <f t="shared" si="38"/>
        <v>0</v>
      </c>
      <c r="F81" s="2054">
        <f t="shared" si="39"/>
        <v>0</v>
      </c>
      <c r="G81" s="2055">
        <f t="shared" si="40"/>
        <v>0</v>
      </c>
      <c r="H81" s="2055">
        <f t="shared" si="41"/>
        <v>0</v>
      </c>
      <c r="I81" s="2055">
        <f t="shared" si="42"/>
        <v>0</v>
      </c>
      <c r="J81" s="2054">
        <f t="shared" si="43"/>
        <v>0</v>
      </c>
      <c r="K81" s="991" t="str">
        <f t="shared" si="44"/>
        <v>No</v>
      </c>
    </row>
    <row r="82" spans="1:11" x14ac:dyDescent="0.35">
      <c r="A82" s="411" t="s">
        <v>315</v>
      </c>
      <c r="B82" s="450" t="s">
        <v>316</v>
      </c>
      <c r="C82" s="1936" cm="1">
        <f t="array" ref="C82">IF($C$13="mm/dd/yyyy",0,_xlfn.XLOOKUP($C$13,_xlfn.CHOOSECOLS('FS-Income Statement 3.05'!$C$5:$Q$5,3,7,11,15),_xlfn.XLOOKUP(A82,'FS-Income Statement 3.05'!$A$7:$A$203,_xlfn.CHOOSECOLS('FS-Income Statement 3.05'!$C$7:$Q$203,3,7,11,15)),"Manual Entry"))</f>
        <v>0</v>
      </c>
      <c r="D82" s="988" cm="1">
        <f t="array" ref="D82">IF($D$13="mm/dd/yyyy",0,_xlfn.XLOOKUP($D$13,_xlfn.CHOOSECOLS('FS-Income Statement 3.05'!$C$5:$Q$5,3,7,11,15),_xlfn.XLOOKUP(A82,'FS-Income Statement 3.05'!$A$7:$A$203,_xlfn.CHOOSECOLS('FS-Income Statement 3.05'!$C$7:$Q$203,3,7,11,15))))</f>
        <v>0</v>
      </c>
      <c r="E82" s="2053">
        <f t="shared" si="38"/>
        <v>0</v>
      </c>
      <c r="F82" s="2054">
        <f t="shared" si="39"/>
        <v>0</v>
      </c>
      <c r="G82" s="2055">
        <f t="shared" si="40"/>
        <v>0</v>
      </c>
      <c r="H82" s="2055">
        <f t="shared" si="41"/>
        <v>0</v>
      </c>
      <c r="I82" s="2055">
        <f t="shared" si="42"/>
        <v>0</v>
      </c>
      <c r="J82" s="2054">
        <f t="shared" si="43"/>
        <v>0</v>
      </c>
      <c r="K82" s="991" t="str">
        <f t="shared" si="44"/>
        <v>No</v>
      </c>
    </row>
    <row r="83" spans="1:11" x14ac:dyDescent="0.35">
      <c r="A83" s="411" t="s">
        <v>317</v>
      </c>
      <c r="B83" s="450" t="s">
        <v>318</v>
      </c>
      <c r="C83" s="1936" cm="1">
        <f t="array" ref="C83">IF($C$13="mm/dd/yyyy",0,_xlfn.XLOOKUP($C$13,_xlfn.CHOOSECOLS('FS-Income Statement 3.05'!$C$5:$Q$5,3,7,11,15),_xlfn.XLOOKUP(A83,'FS-Income Statement 3.05'!$A$7:$A$203,_xlfn.CHOOSECOLS('FS-Income Statement 3.05'!$C$7:$Q$203,3,7,11,15)),"Manual Entry"))</f>
        <v>0</v>
      </c>
      <c r="D83" s="988" cm="1">
        <f t="array" ref="D83">IF($D$13="mm/dd/yyyy",0,_xlfn.XLOOKUP($D$13,_xlfn.CHOOSECOLS('FS-Income Statement 3.05'!$C$5:$Q$5,3,7,11,15),_xlfn.XLOOKUP(A83,'FS-Income Statement 3.05'!$A$7:$A$203,_xlfn.CHOOSECOLS('FS-Income Statement 3.05'!$C$7:$Q$203,3,7,11,15))))</f>
        <v>0</v>
      </c>
      <c r="E83" s="2053">
        <f t="shared" si="38"/>
        <v>0</v>
      </c>
      <c r="F83" s="2054">
        <f t="shared" si="39"/>
        <v>0</v>
      </c>
      <c r="G83" s="2055">
        <f t="shared" si="40"/>
        <v>0</v>
      </c>
      <c r="H83" s="2055">
        <f t="shared" si="41"/>
        <v>0</v>
      </c>
      <c r="I83" s="2055">
        <f t="shared" si="42"/>
        <v>0</v>
      </c>
      <c r="J83" s="2054">
        <f t="shared" si="43"/>
        <v>0</v>
      </c>
      <c r="K83" s="991" t="str">
        <f t="shared" si="44"/>
        <v>No</v>
      </c>
    </row>
    <row r="84" spans="1:11" x14ac:dyDescent="0.35">
      <c r="A84" s="411" t="s">
        <v>319</v>
      </c>
      <c r="B84" s="450" t="s">
        <v>320</v>
      </c>
      <c r="C84" s="1936" cm="1">
        <f t="array" ref="C84">IF($C$13="mm/dd/yyyy",0,_xlfn.XLOOKUP($C$13,_xlfn.CHOOSECOLS('FS-Income Statement 3.05'!$C$5:$Q$5,3,7,11,15),_xlfn.XLOOKUP(A84,'FS-Income Statement 3.05'!$A$7:$A$203,_xlfn.CHOOSECOLS('FS-Income Statement 3.05'!$C$7:$Q$203,3,7,11,15)),"Manual Entry"))</f>
        <v>0</v>
      </c>
      <c r="D84" s="988" cm="1">
        <f t="array" ref="D84">IF($D$13="mm/dd/yyyy",0,_xlfn.XLOOKUP($D$13,_xlfn.CHOOSECOLS('FS-Income Statement 3.05'!$C$5:$Q$5,3,7,11,15),_xlfn.XLOOKUP(A84,'FS-Income Statement 3.05'!$A$7:$A$203,_xlfn.CHOOSECOLS('FS-Income Statement 3.05'!$C$7:$Q$203,3,7,11,15))))</f>
        <v>0</v>
      </c>
      <c r="E84" s="2053">
        <f t="shared" si="38"/>
        <v>0</v>
      </c>
      <c r="F84" s="2054">
        <f t="shared" si="39"/>
        <v>0</v>
      </c>
      <c r="G84" s="2055">
        <f t="shared" si="40"/>
        <v>0</v>
      </c>
      <c r="H84" s="2055">
        <f t="shared" si="41"/>
        <v>0</v>
      </c>
      <c r="I84" s="2055">
        <f t="shared" si="42"/>
        <v>0</v>
      </c>
      <c r="J84" s="2054">
        <f t="shared" si="43"/>
        <v>0</v>
      </c>
      <c r="K84" s="991" t="str">
        <f t="shared" si="44"/>
        <v>No</v>
      </c>
    </row>
    <row r="85" spans="1:11" x14ac:dyDescent="0.35">
      <c r="A85" s="411" t="s">
        <v>321</v>
      </c>
      <c r="B85" s="450" t="s">
        <v>322</v>
      </c>
      <c r="C85" s="1936" cm="1">
        <f t="array" ref="C85">IF($C$13="mm/dd/yyyy",0,_xlfn.XLOOKUP($C$13,_xlfn.CHOOSECOLS('FS-Income Statement 3.05'!$C$5:$Q$5,3,7,11,15),_xlfn.XLOOKUP(A85,'FS-Income Statement 3.05'!$A$7:$A$203,_xlfn.CHOOSECOLS('FS-Income Statement 3.05'!$C$7:$Q$203,3,7,11,15)),"Manual Entry"))</f>
        <v>0</v>
      </c>
      <c r="D85" s="988" cm="1">
        <f t="array" ref="D85">IF($D$13="mm/dd/yyyy",0,_xlfn.XLOOKUP($D$13,_xlfn.CHOOSECOLS('FS-Income Statement 3.05'!$C$5:$Q$5,3,7,11,15),_xlfn.XLOOKUP(A85,'FS-Income Statement 3.05'!$A$7:$A$203,_xlfn.CHOOSECOLS('FS-Income Statement 3.05'!$C$7:$Q$203,3,7,11,15))))</f>
        <v>0</v>
      </c>
      <c r="E85" s="2053">
        <f t="shared" si="38"/>
        <v>0</v>
      </c>
      <c r="F85" s="2054">
        <f t="shared" si="39"/>
        <v>0</v>
      </c>
      <c r="G85" s="2055">
        <f t="shared" si="40"/>
        <v>0</v>
      </c>
      <c r="H85" s="2055">
        <f t="shared" si="41"/>
        <v>0</v>
      </c>
      <c r="I85" s="2055">
        <f t="shared" si="42"/>
        <v>0</v>
      </c>
      <c r="J85" s="2054">
        <f t="shared" si="43"/>
        <v>0</v>
      </c>
      <c r="K85" s="991" t="str">
        <f t="shared" si="44"/>
        <v>No</v>
      </c>
    </row>
    <row r="86" spans="1:11" x14ac:dyDescent="0.35">
      <c r="A86" s="411" t="s">
        <v>323</v>
      </c>
      <c r="B86" s="450" t="s">
        <v>324</v>
      </c>
      <c r="C86" s="1936" cm="1">
        <f t="array" ref="C86">IF($C$13="mm/dd/yyyy",0,_xlfn.XLOOKUP($C$13,_xlfn.CHOOSECOLS('FS-Income Statement 3.05'!$C$5:$Q$5,3,7,11,15),_xlfn.XLOOKUP(A86,'FS-Income Statement 3.05'!$A$7:$A$203,_xlfn.CHOOSECOLS('FS-Income Statement 3.05'!$C$7:$Q$203,3,7,11,15)),"Manual Entry"))</f>
        <v>0</v>
      </c>
      <c r="D86" s="988" cm="1">
        <f t="array" ref="D86">IF($D$13="mm/dd/yyyy",0,_xlfn.XLOOKUP($D$13,_xlfn.CHOOSECOLS('FS-Income Statement 3.05'!$C$5:$Q$5,3,7,11,15),_xlfn.XLOOKUP(A86,'FS-Income Statement 3.05'!$A$7:$A$203,_xlfn.CHOOSECOLS('FS-Income Statement 3.05'!$C$7:$Q$203,3,7,11,15))))</f>
        <v>0</v>
      </c>
      <c r="E86" s="2053">
        <f t="shared" si="38"/>
        <v>0</v>
      </c>
      <c r="F86" s="2054">
        <f t="shared" si="39"/>
        <v>0</v>
      </c>
      <c r="G86" s="2055">
        <f t="shared" si="40"/>
        <v>0</v>
      </c>
      <c r="H86" s="2055">
        <f t="shared" si="41"/>
        <v>0</v>
      </c>
      <c r="I86" s="2055">
        <f t="shared" si="42"/>
        <v>0</v>
      </c>
      <c r="J86" s="2054">
        <f t="shared" si="43"/>
        <v>0</v>
      </c>
      <c r="K86" s="991" t="str">
        <f t="shared" si="44"/>
        <v>No</v>
      </c>
    </row>
    <row r="87" spans="1:11" x14ac:dyDescent="0.35">
      <c r="A87" s="411" t="s">
        <v>325</v>
      </c>
      <c r="B87" s="450" t="s">
        <v>326</v>
      </c>
      <c r="C87" s="1936" cm="1">
        <f t="array" ref="C87">IF($C$13="mm/dd/yyyy",0,_xlfn.XLOOKUP($C$13,_xlfn.CHOOSECOLS('FS-Income Statement 3.05'!$C$5:$Q$5,3,7,11,15),_xlfn.XLOOKUP(A87,'FS-Income Statement 3.05'!$A$7:$A$203,_xlfn.CHOOSECOLS('FS-Income Statement 3.05'!$C$7:$Q$203,3,7,11,15)),"Manual Entry"))</f>
        <v>0</v>
      </c>
      <c r="D87" s="988" cm="1">
        <f t="array" ref="D87">IF($D$13="mm/dd/yyyy",0,_xlfn.XLOOKUP($D$13,_xlfn.CHOOSECOLS('FS-Income Statement 3.05'!$C$5:$Q$5,3,7,11,15),_xlfn.XLOOKUP(A87,'FS-Income Statement 3.05'!$A$7:$A$203,_xlfn.CHOOSECOLS('FS-Income Statement 3.05'!$C$7:$Q$203,3,7,11,15))))</f>
        <v>0</v>
      </c>
      <c r="E87" s="2053">
        <f t="shared" si="38"/>
        <v>0</v>
      </c>
      <c r="F87" s="2054">
        <f t="shared" si="39"/>
        <v>0</v>
      </c>
      <c r="G87" s="2055">
        <f t="shared" si="40"/>
        <v>0</v>
      </c>
      <c r="H87" s="2055">
        <f t="shared" si="41"/>
        <v>0</v>
      </c>
      <c r="I87" s="2055">
        <f t="shared" si="42"/>
        <v>0</v>
      </c>
      <c r="J87" s="2054">
        <f t="shared" si="43"/>
        <v>0</v>
      </c>
      <c r="K87" s="991" t="str">
        <f t="shared" si="44"/>
        <v>No</v>
      </c>
    </row>
    <row r="88" spans="1:11" x14ac:dyDescent="0.35">
      <c r="A88" s="411" t="s">
        <v>327</v>
      </c>
      <c r="B88" s="450" t="s">
        <v>328</v>
      </c>
      <c r="C88" s="1936" cm="1">
        <f t="array" ref="C88">IF($C$13="mm/dd/yyyy",0,_xlfn.XLOOKUP($C$13,_xlfn.CHOOSECOLS('FS-Income Statement 3.05'!$C$5:$Q$5,3,7,11,15),_xlfn.XLOOKUP(A88,'FS-Income Statement 3.05'!$A$7:$A$203,_xlfn.CHOOSECOLS('FS-Income Statement 3.05'!$C$7:$Q$203,3,7,11,15)),"Manual Entry"))</f>
        <v>0</v>
      </c>
      <c r="D88" s="988" cm="1">
        <f t="array" ref="D88">IF($D$13="mm/dd/yyyy",0,_xlfn.XLOOKUP($D$13,_xlfn.CHOOSECOLS('FS-Income Statement 3.05'!$C$5:$Q$5,3,7,11,15),_xlfn.XLOOKUP(A88,'FS-Income Statement 3.05'!$A$7:$A$203,_xlfn.CHOOSECOLS('FS-Income Statement 3.05'!$C$7:$Q$203,3,7,11,15))))</f>
        <v>0</v>
      </c>
      <c r="E88" s="2053">
        <f t="shared" si="38"/>
        <v>0</v>
      </c>
      <c r="F88" s="2054">
        <f t="shared" si="39"/>
        <v>0</v>
      </c>
      <c r="G88" s="2055">
        <f t="shared" si="40"/>
        <v>0</v>
      </c>
      <c r="H88" s="2055">
        <f t="shared" si="41"/>
        <v>0</v>
      </c>
      <c r="I88" s="2055">
        <f t="shared" si="42"/>
        <v>0</v>
      </c>
      <c r="J88" s="2054">
        <f t="shared" si="43"/>
        <v>0</v>
      </c>
      <c r="K88" s="991" t="str">
        <f t="shared" si="44"/>
        <v>No</v>
      </c>
    </row>
    <row r="89" spans="1:11" x14ac:dyDescent="0.35">
      <c r="A89" s="411" t="s">
        <v>329</v>
      </c>
      <c r="B89" s="450" t="s">
        <v>330</v>
      </c>
      <c r="C89" s="1936" cm="1">
        <f t="array" ref="C89">IF($C$13="mm/dd/yyyy",0,_xlfn.XLOOKUP($C$13,_xlfn.CHOOSECOLS('FS-Income Statement 3.05'!$C$5:$Q$5,3,7,11,15),_xlfn.XLOOKUP(A89,'FS-Income Statement 3.05'!$A$7:$A$203,_xlfn.CHOOSECOLS('FS-Income Statement 3.05'!$C$7:$Q$203,3,7,11,15)),"Manual Entry"))</f>
        <v>0</v>
      </c>
      <c r="D89" s="988" cm="1">
        <f t="array" ref="D89">IF($D$13="mm/dd/yyyy",0,_xlfn.XLOOKUP($D$13,_xlfn.CHOOSECOLS('FS-Income Statement 3.05'!$C$5:$Q$5,3,7,11,15),_xlfn.XLOOKUP(A89,'FS-Income Statement 3.05'!$A$7:$A$203,_xlfn.CHOOSECOLS('FS-Income Statement 3.05'!$C$7:$Q$203,3,7,11,15))))</f>
        <v>0</v>
      </c>
      <c r="E89" s="2053">
        <f t="shared" si="38"/>
        <v>0</v>
      </c>
      <c r="F89" s="2054">
        <f t="shared" si="39"/>
        <v>0</v>
      </c>
      <c r="G89" s="2055">
        <f t="shared" si="40"/>
        <v>0</v>
      </c>
      <c r="H89" s="2055">
        <f t="shared" si="41"/>
        <v>0</v>
      </c>
      <c r="I89" s="2055">
        <f t="shared" si="42"/>
        <v>0</v>
      </c>
      <c r="J89" s="2054">
        <f t="shared" si="43"/>
        <v>0</v>
      </c>
      <c r="K89" s="991" t="str">
        <f t="shared" si="44"/>
        <v>No</v>
      </c>
    </row>
    <row r="90" spans="1:11" x14ac:dyDescent="0.35">
      <c r="A90" s="411" t="s">
        <v>331</v>
      </c>
      <c r="B90" s="450" t="s">
        <v>332</v>
      </c>
      <c r="C90" s="1936" cm="1">
        <f t="array" ref="C90">IF($C$13="mm/dd/yyyy",0,_xlfn.XLOOKUP($C$13,_xlfn.CHOOSECOLS('FS-Income Statement 3.05'!$C$5:$Q$5,3,7,11,15),_xlfn.XLOOKUP(A90,'FS-Income Statement 3.05'!$A$7:$A$203,_xlfn.CHOOSECOLS('FS-Income Statement 3.05'!$C$7:$Q$203,3,7,11,15)),"Manual Entry"))</f>
        <v>0</v>
      </c>
      <c r="D90" s="988" cm="1">
        <f t="array" ref="D90">IF($D$13="mm/dd/yyyy",0,_xlfn.XLOOKUP($D$13,_xlfn.CHOOSECOLS('FS-Income Statement 3.05'!$C$5:$Q$5,3,7,11,15),_xlfn.XLOOKUP(A90,'FS-Income Statement 3.05'!$A$7:$A$203,_xlfn.CHOOSECOLS('FS-Income Statement 3.05'!$C$7:$Q$203,3,7,11,15))))</f>
        <v>0</v>
      </c>
      <c r="E90" s="2053">
        <f t="shared" si="38"/>
        <v>0</v>
      </c>
      <c r="F90" s="2054">
        <f t="shared" si="39"/>
        <v>0</v>
      </c>
      <c r="G90" s="2055">
        <f t="shared" si="40"/>
        <v>0</v>
      </c>
      <c r="H90" s="2055">
        <f t="shared" si="41"/>
        <v>0</v>
      </c>
      <c r="I90" s="2055">
        <f t="shared" si="42"/>
        <v>0</v>
      </c>
      <c r="J90" s="2054">
        <f t="shared" si="43"/>
        <v>0</v>
      </c>
      <c r="K90" s="991" t="str">
        <f t="shared" si="44"/>
        <v>No</v>
      </c>
    </row>
    <row r="91" spans="1:11" x14ac:dyDescent="0.35">
      <c r="A91" s="411" t="s">
        <v>333</v>
      </c>
      <c r="B91" s="450" t="s">
        <v>334</v>
      </c>
      <c r="C91" s="1936" cm="1">
        <f t="array" ref="C91">IF($C$13="mm/dd/yyyy",0,_xlfn.XLOOKUP($C$13,_xlfn.CHOOSECOLS('FS-Income Statement 3.05'!$C$5:$Q$5,3,7,11,15),_xlfn.XLOOKUP(A91,'FS-Income Statement 3.05'!$A$7:$A$203,_xlfn.CHOOSECOLS('FS-Income Statement 3.05'!$C$7:$Q$203,3,7,11,15)),"Manual Entry"))</f>
        <v>0</v>
      </c>
      <c r="D91" s="988" cm="1">
        <f t="array" ref="D91">IF($D$13="mm/dd/yyyy",0,_xlfn.XLOOKUP($D$13,_xlfn.CHOOSECOLS('FS-Income Statement 3.05'!$C$5:$Q$5,3,7,11,15),_xlfn.XLOOKUP(A91,'FS-Income Statement 3.05'!$A$7:$A$203,_xlfn.CHOOSECOLS('FS-Income Statement 3.05'!$C$7:$Q$203,3,7,11,15))))</f>
        <v>0</v>
      </c>
      <c r="E91" s="2053">
        <f>IF($C$32=0,0,C91/$C$32)</f>
        <v>0</v>
      </c>
      <c r="F91" s="2054">
        <f>IF($D$32=0,0,D91/$D$32)</f>
        <v>0</v>
      </c>
      <c r="G91" s="2055">
        <f>IFERROR(C91/$C$17,0)</f>
        <v>0</v>
      </c>
      <c r="H91" s="2055">
        <f>IFERROR(D91/$D$17,0)</f>
        <v>0</v>
      </c>
      <c r="I91" s="2055">
        <f>H91-G91</f>
        <v>0</v>
      </c>
      <c r="J91" s="2054">
        <f>IF(OR(AND(C91=0,D91=0),C91="Manual Entry"),0%,IF(AND(G91=0,H91&lt;&gt;0),100%,IF(G91&lt;0,(H91+ABS(G91))/ABS(G91),H91/G91-1)))</f>
        <v>0</v>
      </c>
      <c r="K91" s="991" t="str">
        <f>IF(OR(AND(J91&gt;=5%,F91&gt;=5%),AND(J91&gt;=5%,E91&gt;=5%),AND(J91&lt;=-5%,F91&lt;=-5%),AND(J91&lt;=-5%,E91&lt;=-5%),AND(J91&gt;=5%,F91&lt;=-5%),AND(J91&lt;=-5%,F91&gt;=5%),AND(J91&gt;=5%,E91&lt;=-5%),AND(J91&lt;=-5%,E91&gt;=5%)),"Yes","No")</f>
        <v>No</v>
      </c>
    </row>
    <row r="92" spans="1:11" x14ac:dyDescent="0.35">
      <c r="A92" s="411" t="s">
        <v>335</v>
      </c>
      <c r="B92" s="450" t="s">
        <v>336</v>
      </c>
      <c r="C92" s="1936" cm="1">
        <f t="array" ref="C92">IF($C$13="mm/dd/yyyy",0,_xlfn.XLOOKUP($C$13,_xlfn.CHOOSECOLS('FS-Income Statement 3.05'!$C$5:$Q$5,3,7,11,15),_xlfn.XLOOKUP(A92,'FS-Income Statement 3.05'!$A$7:$A$203,_xlfn.CHOOSECOLS('FS-Income Statement 3.05'!$C$7:$Q$203,3,7,11,15)),"Manual Entry"))</f>
        <v>0</v>
      </c>
      <c r="D92" s="988" cm="1">
        <f t="array" ref="D92">IF($D$13="mm/dd/yyyy",0,_xlfn.XLOOKUP($D$13,_xlfn.CHOOSECOLS('FS-Income Statement 3.05'!$C$5:$Q$5,3,7,11,15),_xlfn.XLOOKUP(A92,'FS-Income Statement 3.05'!$A$7:$A$203,_xlfn.CHOOSECOLS('FS-Income Statement 3.05'!$C$7:$Q$203,3,7,11,15))))</f>
        <v>0</v>
      </c>
      <c r="E92" s="2053">
        <f>IF($C$32=0,0,C92/$C$32)</f>
        <v>0</v>
      </c>
      <c r="F92" s="2054">
        <f>IF($D$32=0,0,D92/$D$32)</f>
        <v>0</v>
      </c>
      <c r="G92" s="2055">
        <f>IFERROR(C92/$C$17,0)</f>
        <v>0</v>
      </c>
      <c r="H92" s="2055">
        <f>IFERROR(D92/$D$17,0)</f>
        <v>0</v>
      </c>
      <c r="I92" s="2055">
        <f>H92-G92</f>
        <v>0</v>
      </c>
      <c r="J92" s="2054">
        <f>IF(OR(AND(C92=0,D92=0),C92="Manual Entry"),0%,IF(AND(G92=0,H92&lt;&gt;0),100%,IF(G92&lt;0,(H92+ABS(G92))/ABS(G92),H92/G92-1)))</f>
        <v>0</v>
      </c>
      <c r="K92" s="991" t="str">
        <f>IF(OR(AND(J92&gt;=5%,F92&gt;=5%),AND(J92&gt;=5%,E92&gt;=5%),AND(J92&lt;=-5%,F92&lt;=-5%),AND(J92&lt;=-5%,E92&lt;=-5%),AND(J92&gt;=5%,F92&lt;=-5%),AND(J92&lt;=-5%,F92&gt;=5%),AND(J92&gt;=5%,E92&lt;=-5%),AND(J92&lt;=-5%,E92&gt;=5%)),"Yes","No")</f>
        <v>No</v>
      </c>
    </row>
    <row r="93" spans="1:11" x14ac:dyDescent="0.35">
      <c r="A93" s="411" t="s">
        <v>337</v>
      </c>
      <c r="B93" s="450" t="s">
        <v>338</v>
      </c>
      <c r="C93" s="1936" cm="1">
        <f t="array" ref="C93">IF($C$13="mm/dd/yyyy",0,_xlfn.XLOOKUP($C$13,_xlfn.CHOOSECOLS('FS-Income Statement 3.05'!$C$5:$Q$5,3,7,11,15),_xlfn.XLOOKUP(A93,'FS-Income Statement 3.05'!$A$7:$A$203,_xlfn.CHOOSECOLS('FS-Income Statement 3.05'!$C$7:$Q$203,3,7,11,15)),"Manual Entry"))</f>
        <v>0</v>
      </c>
      <c r="D93" s="988" cm="1">
        <f t="array" ref="D93">IF($D$13="mm/dd/yyyy",0,_xlfn.XLOOKUP($D$13,_xlfn.CHOOSECOLS('FS-Income Statement 3.05'!$C$5:$Q$5,3,7,11,15),_xlfn.XLOOKUP(A93,'FS-Income Statement 3.05'!$A$7:$A$203,_xlfn.CHOOSECOLS('FS-Income Statement 3.05'!$C$7:$Q$203,3,7,11,15))))</f>
        <v>0</v>
      </c>
      <c r="E93" s="2053">
        <f>IF($C$32=0,0,C93/$C$32)</f>
        <v>0</v>
      </c>
      <c r="F93" s="2054">
        <f>IF($D$32=0,0,D93/$D$32)</f>
        <v>0</v>
      </c>
      <c r="G93" s="2055">
        <f>IFERROR(C93/$C$17,0)</f>
        <v>0</v>
      </c>
      <c r="H93" s="2055">
        <f>IFERROR(D93/$D$17,0)</f>
        <v>0</v>
      </c>
      <c r="I93" s="2055">
        <f>H93-G93</f>
        <v>0</v>
      </c>
      <c r="J93" s="2054">
        <f>IF(OR(AND(C93=0,D93=0),C93="Manual Entry"),0%,IF(AND(G93=0,H93&lt;&gt;0),100%,IF(G93&lt;0,(H93+ABS(G93))/ABS(G93),H93/G93-1)))</f>
        <v>0</v>
      </c>
      <c r="K93" s="991" t="str">
        <f>IF(OR(AND(J93&gt;=5%,F93&gt;=5%),AND(J93&gt;=5%,E93&gt;=5%),AND(J93&lt;=-5%,F93&lt;=-5%),AND(J93&lt;=-5%,E93&lt;=-5%),AND(J93&gt;=5%,F93&lt;=-5%),AND(J93&lt;=-5%,F93&gt;=5%),AND(J93&gt;=5%,E93&lt;=-5%),AND(J93&lt;=-5%,E93&gt;=5%)),"Yes","No")</f>
        <v>No</v>
      </c>
    </row>
    <row r="94" spans="1:11" x14ac:dyDescent="0.35">
      <c r="A94" s="451" t="s">
        <v>339</v>
      </c>
      <c r="B94" s="452" t="s">
        <v>340</v>
      </c>
      <c r="C94" s="1940">
        <f>SUM(C91:C93)</f>
        <v>0</v>
      </c>
      <c r="D94" s="1000">
        <f>SUM(D91:D93)</f>
        <v>0</v>
      </c>
      <c r="E94" s="2062"/>
      <c r="F94" s="2063"/>
      <c r="G94" s="2064"/>
      <c r="H94" s="2064"/>
      <c r="I94" s="2064"/>
      <c r="J94" s="2063"/>
      <c r="K94" s="1001"/>
    </row>
    <row r="95" spans="1:11" ht="15" thickBot="1" x14ac:dyDescent="0.4">
      <c r="A95" s="411" t="s">
        <v>341</v>
      </c>
      <c r="B95" s="450" t="s">
        <v>342</v>
      </c>
      <c r="C95" s="1936" cm="1">
        <f t="array" ref="C95">IF($C$13="mm/dd/yyyy",0,_xlfn.XLOOKUP($C$13,_xlfn.CHOOSECOLS('FS-Income Statement 3.05'!$C$5:$Q$5,3,7,11,15),_xlfn.XLOOKUP(A95,'FS-Income Statement 3.05'!$A$7:$A$203,_xlfn.CHOOSECOLS('FS-Income Statement 3.05'!$C$7:$Q$203,3,7,11,15)),"Manual Entry"))</f>
        <v>0</v>
      </c>
      <c r="D95" s="988" cm="1">
        <f t="array" ref="D95">IF($D$13="mm/dd/yyyy",0,_xlfn.XLOOKUP($D$13,_xlfn.CHOOSECOLS('FS-Income Statement 3.05'!$C$5:$Q$5,3,7,11,15),_xlfn.XLOOKUP(A95,'FS-Income Statement 3.05'!$A$7:$A$203,_xlfn.CHOOSECOLS('FS-Income Statement 3.05'!$C$7:$Q$203,3,7,11,15))))</f>
        <v>0</v>
      </c>
      <c r="E95" s="2053">
        <f t="shared" si="38"/>
        <v>0</v>
      </c>
      <c r="F95" s="2054">
        <f t="shared" si="39"/>
        <v>0</v>
      </c>
      <c r="G95" s="2055">
        <f t="shared" si="40"/>
        <v>0</v>
      </c>
      <c r="H95" s="2055">
        <f t="shared" si="41"/>
        <v>0</v>
      </c>
      <c r="I95" s="2055">
        <f t="shared" si="42"/>
        <v>0</v>
      </c>
      <c r="J95" s="2054">
        <f t="shared" si="43"/>
        <v>0</v>
      </c>
      <c r="K95" s="991" t="str">
        <f t="shared" si="44"/>
        <v>No</v>
      </c>
    </row>
    <row r="96" spans="1:11" ht="15" thickBot="1" x14ac:dyDescent="0.4">
      <c r="A96" s="994">
        <v>50399</v>
      </c>
      <c r="B96" s="998" t="s">
        <v>343</v>
      </c>
      <c r="C96" s="1939">
        <f>SUM(C76:C90)+C94+C95</f>
        <v>0</v>
      </c>
      <c r="D96" s="996">
        <f>SUM(D76:D90)+D94+D95</f>
        <v>0</v>
      </c>
      <c r="E96" s="2059"/>
      <c r="F96" s="2060"/>
      <c r="G96" s="2060"/>
      <c r="H96" s="2060"/>
      <c r="I96" s="2060"/>
      <c r="J96" s="2060"/>
      <c r="K96" s="2061"/>
    </row>
    <row r="97" spans="1:11" ht="15" thickBot="1" x14ac:dyDescent="0.4">
      <c r="A97" s="411" t="s">
        <v>344</v>
      </c>
      <c r="B97" s="450" t="s">
        <v>345</v>
      </c>
      <c r="C97" s="1936" cm="1">
        <f t="array" ref="C97">IF($C$13="mm/dd/yyyy",0,_xlfn.XLOOKUP($C$13,_xlfn.CHOOSECOLS('FS-Income Statement 3.05'!$C$5:$Q$5,3,7,11,15),_xlfn.XLOOKUP(A97,'FS-Income Statement 3.05'!$A$7:$A$203,_xlfn.CHOOSECOLS('FS-Income Statement 3.05'!$C$7:$Q$203,3,7,11,15)),"Manual Entry"))</f>
        <v>0</v>
      </c>
      <c r="D97" s="988" cm="1">
        <f t="array" ref="D97">IF($D$13="mm/dd/yyyy",0,_xlfn.XLOOKUP($D$13,_xlfn.CHOOSECOLS('FS-Income Statement 3.05'!$C$5:$Q$5,3,7,11,15),_xlfn.XLOOKUP(A97,'FS-Income Statement 3.05'!$A$7:$A$203,_xlfn.CHOOSECOLS('FS-Income Statement 3.05'!$C$7:$Q$203,3,7,11,15))))</f>
        <v>0</v>
      </c>
      <c r="E97" s="2053">
        <f t="shared" ref="E97" si="46">IF($C$32=0,0,C97/$C$32)</f>
        <v>0</v>
      </c>
      <c r="F97" s="2054">
        <f t="shared" ref="F97" si="47">IF($D$32=0,0,D97/$D$32)</f>
        <v>0</v>
      </c>
      <c r="G97" s="2055">
        <f t="shared" ref="G97" si="48">IFERROR(C97/$C$17,0)</f>
        <v>0</v>
      </c>
      <c r="H97" s="2055">
        <f t="shared" ref="H97" si="49">IFERROR(D97/$D$17,0)</f>
        <v>0</v>
      </c>
      <c r="I97" s="2055">
        <f t="shared" ref="I97" si="50">H97-G97</f>
        <v>0</v>
      </c>
      <c r="J97" s="2054">
        <f t="shared" ref="J97" si="51">IF(OR(AND(C97=0,D97=0),C97="Manual Entry"),0%,IF(AND(G97=0,H97&lt;&gt;0),100%,IF(G97&lt;0,(H97+ABS(G97))/ABS(G97),H97/G97-1)))</f>
        <v>0</v>
      </c>
      <c r="K97" s="991" t="str">
        <f t="shared" ref="K97" si="52">IF(OR(AND(J97&gt;=5%,F97&gt;=5%),AND(J97&gt;=5%,E97&gt;=5%),AND(J97&lt;=-5%,F97&lt;=-5%),AND(J97&lt;=-5%,E97&lt;=-5%),AND(J97&gt;=5%,F97&lt;=-5%),AND(J97&lt;=-5%,F97&gt;=5%),AND(J97&gt;=5%,E97&lt;=-5%),AND(J97&lt;=-5%,E97&gt;=5%)),"Yes","No")</f>
        <v>No</v>
      </c>
    </row>
    <row r="98" spans="1:11" ht="15" thickBot="1" x14ac:dyDescent="0.4">
      <c r="A98" s="994">
        <v>59999</v>
      </c>
      <c r="B98" s="998" t="s">
        <v>346</v>
      </c>
      <c r="C98" s="1939">
        <f>IFERROR(C40+C57+C74+C96+C97,0)</f>
        <v>0</v>
      </c>
      <c r="D98" s="996">
        <f>D40+D57+D74+D96+D97</f>
        <v>0</v>
      </c>
      <c r="E98" s="2059"/>
      <c r="F98" s="2060"/>
      <c r="G98" s="2060"/>
      <c r="H98" s="2060"/>
      <c r="I98" s="2060"/>
      <c r="J98" s="2060"/>
      <c r="K98" s="2061"/>
    </row>
    <row r="99" spans="1:11" x14ac:dyDescent="0.35">
      <c r="A99" s="1002" t="s">
        <v>347</v>
      </c>
      <c r="B99" s="538"/>
      <c r="C99" s="1936"/>
      <c r="D99" s="988"/>
      <c r="E99" s="2027"/>
      <c r="F99" s="2029"/>
      <c r="G99" s="2029"/>
      <c r="H99" s="2029"/>
      <c r="I99" s="2029"/>
      <c r="J99" s="2029"/>
      <c r="K99" s="2050"/>
    </row>
    <row r="100" spans="1:11" x14ac:dyDescent="0.35">
      <c r="A100" s="411" t="s">
        <v>348</v>
      </c>
      <c r="B100" s="450" t="s">
        <v>349</v>
      </c>
      <c r="C100" s="1936" cm="1">
        <f t="array" ref="C100">IF($C$13="mm/dd/yyyy",0,_xlfn.XLOOKUP($C$13,_xlfn.CHOOSECOLS('FS-Income Statement 3.05'!$C$5:$Q$5,3,7,11,15),_xlfn.XLOOKUP(A100,'FS-Income Statement 3.05'!$A$7:$A$203,_xlfn.CHOOSECOLS('FS-Income Statement 3.05'!$C$7:$Q$203,3,7,11,15)),"Manual Entry"))</f>
        <v>0</v>
      </c>
      <c r="D100" s="988" cm="1">
        <f t="array" ref="D100">IF($D$13="mm/dd/yyyy",0,_xlfn.XLOOKUP($D$13,_xlfn.CHOOSECOLS('FS-Income Statement 3.05'!$C$5:$Q$5,3,7,11,15),_xlfn.XLOOKUP(A100,'FS-Income Statement 3.05'!$A$7:$A$203,_xlfn.CHOOSECOLS('FS-Income Statement 3.05'!$C$7:$Q$203,3,7,11,15))))</f>
        <v>0</v>
      </c>
      <c r="E100" s="2053">
        <f t="shared" ref="E100:E104" si="53">IF($C$32=0,0,C100/$C$32)</f>
        <v>0</v>
      </c>
      <c r="F100" s="2054">
        <f t="shared" ref="F100:F104" si="54">IF($D$32=0,0,D100/$D$32)</f>
        <v>0</v>
      </c>
      <c r="G100" s="2055">
        <f t="shared" ref="G100:G104" si="55">IFERROR(C100/$C$17,0)</f>
        <v>0</v>
      </c>
      <c r="H100" s="2055">
        <f t="shared" ref="H100:H104" si="56">IFERROR(D100/$D$17,0)</f>
        <v>0</v>
      </c>
      <c r="I100" s="2055">
        <f t="shared" ref="I100:I104" si="57">H100-G100</f>
        <v>0</v>
      </c>
      <c r="J100" s="2054">
        <f t="shared" ref="J100:J104" si="58">IF(OR(AND(C100=0,D100=0),C100="Manual Entry"),0%,IF(AND(G100=0,H100&lt;&gt;0),100%,IF(G100&lt;0,(H100+ABS(G100))/ABS(G100),H100/G100-1)))</f>
        <v>0</v>
      </c>
      <c r="K100" s="991" t="str">
        <f t="shared" ref="K100:K104" si="59">IF(OR(AND(J100&gt;=5%,F100&gt;=5%),AND(J100&gt;=5%,E100&gt;=5%),AND(J100&lt;=-5%,F100&lt;=-5%),AND(J100&lt;=-5%,E100&lt;=-5%),AND(J100&gt;=5%,F100&lt;=-5%),AND(J100&lt;=-5%,F100&gt;=5%),AND(J100&gt;=5%,E100&lt;=-5%),AND(J100&lt;=-5%,E100&gt;=5%)),"Yes","No")</f>
        <v>No</v>
      </c>
    </row>
    <row r="101" spans="1:11" x14ac:dyDescent="0.35">
      <c r="A101" s="411" t="s">
        <v>350</v>
      </c>
      <c r="B101" s="450" t="s">
        <v>351</v>
      </c>
      <c r="C101" s="1936" cm="1">
        <f t="array" ref="C101">IF($C$13="mm/dd/yyyy",0,_xlfn.XLOOKUP($C$13,_xlfn.CHOOSECOLS('FS-Income Statement 3.05'!$C$5:$Q$5,3,7,11,15),_xlfn.XLOOKUP(A101,'FS-Income Statement 3.05'!$A$7:$A$203,_xlfn.CHOOSECOLS('FS-Income Statement 3.05'!$C$7:$Q$203,3,7,11,15)),"Manual Entry"))</f>
        <v>0</v>
      </c>
      <c r="D101" s="988" cm="1">
        <f t="array" ref="D101">IF($D$13="mm/dd/yyyy",0,_xlfn.XLOOKUP($D$13,_xlfn.CHOOSECOLS('FS-Income Statement 3.05'!$C$5:$Q$5,3,7,11,15),_xlfn.XLOOKUP(A101,'FS-Income Statement 3.05'!$A$7:$A$203,_xlfn.CHOOSECOLS('FS-Income Statement 3.05'!$C$7:$Q$203,3,7,11,15))))</f>
        <v>0</v>
      </c>
      <c r="E101" s="2053">
        <f t="shared" si="53"/>
        <v>0</v>
      </c>
      <c r="F101" s="2054">
        <f t="shared" si="54"/>
        <v>0</v>
      </c>
      <c r="G101" s="2055">
        <f t="shared" si="55"/>
        <v>0</v>
      </c>
      <c r="H101" s="2055">
        <f t="shared" si="56"/>
        <v>0</v>
      </c>
      <c r="I101" s="2055">
        <f t="shared" si="57"/>
        <v>0</v>
      </c>
      <c r="J101" s="2054">
        <f t="shared" si="58"/>
        <v>0</v>
      </c>
      <c r="K101" s="991" t="str">
        <f t="shared" si="59"/>
        <v>No</v>
      </c>
    </row>
    <row r="102" spans="1:11" x14ac:dyDescent="0.35">
      <c r="A102" s="411" t="s">
        <v>352</v>
      </c>
      <c r="B102" s="450" t="s">
        <v>353</v>
      </c>
      <c r="C102" s="1936" cm="1">
        <f t="array" ref="C102">IF($C$13="mm/dd/yyyy",0,_xlfn.XLOOKUP($C$13,_xlfn.CHOOSECOLS('FS-Income Statement 3.05'!$C$5:$Q$5,3,7,11,15),_xlfn.XLOOKUP(A102,'FS-Income Statement 3.05'!$A$7:$A$203,_xlfn.CHOOSECOLS('FS-Income Statement 3.05'!$C$7:$Q$203,3,7,11,15)),"Manual Entry"))</f>
        <v>0</v>
      </c>
      <c r="D102" s="988" cm="1">
        <f t="array" ref="D102">IF($D$13="mm/dd/yyyy",0,_xlfn.XLOOKUP($D$13,_xlfn.CHOOSECOLS('FS-Income Statement 3.05'!$C$5:$Q$5,3,7,11,15),_xlfn.XLOOKUP(A102,'FS-Income Statement 3.05'!$A$7:$A$203,_xlfn.CHOOSECOLS('FS-Income Statement 3.05'!$C$7:$Q$203,3,7,11,15))))</f>
        <v>0</v>
      </c>
      <c r="E102" s="2053">
        <f t="shared" si="53"/>
        <v>0</v>
      </c>
      <c r="F102" s="2054">
        <f t="shared" si="54"/>
        <v>0</v>
      </c>
      <c r="G102" s="2055">
        <f t="shared" si="55"/>
        <v>0</v>
      </c>
      <c r="H102" s="2055">
        <f t="shared" si="56"/>
        <v>0</v>
      </c>
      <c r="I102" s="2055">
        <f t="shared" si="57"/>
        <v>0</v>
      </c>
      <c r="J102" s="2054">
        <f t="shared" si="58"/>
        <v>0</v>
      </c>
      <c r="K102" s="991" t="str">
        <f t="shared" si="59"/>
        <v>No</v>
      </c>
    </row>
    <row r="103" spans="1:11" x14ac:dyDescent="0.35">
      <c r="A103" s="411" t="s">
        <v>354</v>
      </c>
      <c r="B103" s="450" t="s">
        <v>355</v>
      </c>
      <c r="C103" s="1936" cm="1">
        <f t="array" ref="C103">IF($C$13="mm/dd/yyyy",0,_xlfn.XLOOKUP($C$13,_xlfn.CHOOSECOLS('FS-Income Statement 3.05'!$C$5:$Q$5,3,7,11,15),_xlfn.XLOOKUP(A103,'FS-Income Statement 3.05'!$A$7:$A$203,_xlfn.CHOOSECOLS('FS-Income Statement 3.05'!$C$7:$Q$203,3,7,11,15)),"Manual Entry"))</f>
        <v>0</v>
      </c>
      <c r="D103" s="988" cm="1">
        <f t="array" ref="D103">IF($D$13="mm/dd/yyyy",0,_xlfn.XLOOKUP($D$13,_xlfn.CHOOSECOLS('FS-Income Statement 3.05'!$C$5:$Q$5,3,7,11,15),_xlfn.XLOOKUP(A103,'FS-Income Statement 3.05'!$A$7:$A$203,_xlfn.CHOOSECOLS('FS-Income Statement 3.05'!$C$7:$Q$203,3,7,11,15))))</f>
        <v>0</v>
      </c>
      <c r="E103" s="2053">
        <f t="shared" si="53"/>
        <v>0</v>
      </c>
      <c r="F103" s="2054">
        <f t="shared" si="54"/>
        <v>0</v>
      </c>
      <c r="G103" s="2055">
        <f t="shared" si="55"/>
        <v>0</v>
      </c>
      <c r="H103" s="2055">
        <f t="shared" si="56"/>
        <v>0</v>
      </c>
      <c r="I103" s="2055">
        <f t="shared" si="57"/>
        <v>0</v>
      </c>
      <c r="J103" s="2054">
        <f t="shared" si="58"/>
        <v>0</v>
      </c>
      <c r="K103" s="991" t="str">
        <f t="shared" si="59"/>
        <v>No</v>
      </c>
    </row>
    <row r="104" spans="1:11" ht="15" thickBot="1" x14ac:dyDescent="0.4">
      <c r="A104" s="411" t="s">
        <v>356</v>
      </c>
      <c r="B104" s="450" t="s">
        <v>357</v>
      </c>
      <c r="C104" s="1936" cm="1">
        <f t="array" ref="C104">IF($C$13="mm/dd/yyyy",0,_xlfn.XLOOKUP($C$13,_xlfn.CHOOSECOLS('FS-Income Statement 3.05'!$C$5:$Q$5,3,7,11,15),_xlfn.XLOOKUP(A104,'FS-Income Statement 3.05'!$A$7:$A$203,_xlfn.CHOOSECOLS('FS-Income Statement 3.05'!$C$7:$Q$203,3,7,11,15)),"Manual Entry"))</f>
        <v>0</v>
      </c>
      <c r="D104" s="988" cm="1">
        <f t="array" ref="D104">IF($D$13="mm/dd/yyyy",0,_xlfn.XLOOKUP($D$13,_xlfn.CHOOSECOLS('FS-Income Statement 3.05'!$C$5:$Q$5,3,7,11,15),_xlfn.XLOOKUP(A104,'FS-Income Statement 3.05'!$A$7:$A$203,_xlfn.CHOOSECOLS('FS-Income Statement 3.05'!$C$7:$Q$203,3,7,11,15))))</f>
        <v>0</v>
      </c>
      <c r="E104" s="2053">
        <f t="shared" si="53"/>
        <v>0</v>
      </c>
      <c r="F104" s="2054">
        <f t="shared" si="54"/>
        <v>0</v>
      </c>
      <c r="G104" s="2055">
        <f t="shared" si="55"/>
        <v>0</v>
      </c>
      <c r="H104" s="2055">
        <f t="shared" si="56"/>
        <v>0</v>
      </c>
      <c r="I104" s="2055">
        <f t="shared" si="57"/>
        <v>0</v>
      </c>
      <c r="J104" s="2054">
        <f t="shared" si="58"/>
        <v>0</v>
      </c>
      <c r="K104" s="991" t="str">
        <f t="shared" si="59"/>
        <v>No</v>
      </c>
    </row>
    <row r="105" spans="1:11" ht="15" thickBot="1" x14ac:dyDescent="0.4">
      <c r="A105" s="994">
        <v>85999</v>
      </c>
      <c r="B105" s="1003" t="s">
        <v>358</v>
      </c>
      <c r="C105" s="1939">
        <f>C98+SUM(C100:C104)</f>
        <v>0</v>
      </c>
      <c r="D105" s="996">
        <f>D98+SUM(D100:D104)</f>
        <v>0</v>
      </c>
      <c r="E105" s="2059"/>
      <c r="F105" s="2060"/>
      <c r="G105" s="2060"/>
      <c r="H105" s="2060"/>
      <c r="I105" s="2060"/>
      <c r="J105" s="2060"/>
      <c r="K105" s="2061"/>
    </row>
    <row r="106" spans="1:11" x14ac:dyDescent="0.35">
      <c r="A106" s="989" t="s">
        <v>359</v>
      </c>
      <c r="B106" s="538"/>
      <c r="C106" s="1936"/>
      <c r="D106" s="988"/>
      <c r="E106" s="2027"/>
      <c r="F106" s="2029"/>
      <c r="G106" s="2029"/>
      <c r="H106" s="2029"/>
      <c r="I106" s="2029"/>
      <c r="J106" s="2029"/>
      <c r="K106" s="2050"/>
    </row>
    <row r="107" spans="1:11" x14ac:dyDescent="0.35">
      <c r="A107" s="411" t="s">
        <v>360</v>
      </c>
      <c r="B107" s="450" t="s">
        <v>361</v>
      </c>
      <c r="C107" s="1936" cm="1">
        <f t="array" ref="C107">IF($C$13="mm/dd/yyyy",0,_xlfn.XLOOKUP($C$13,_xlfn.CHOOSECOLS('FS-Income Statement 3.05'!$C$5:$Q$5,3,7,11,15),_xlfn.XLOOKUP(A107,'FS-Income Statement 3.05'!$A$7:$A$203,_xlfn.CHOOSECOLS('FS-Income Statement 3.05'!$C$7:$Q$203,3,7,11,15)),"Manual Entry"))</f>
        <v>0</v>
      </c>
      <c r="D107" s="988" cm="1">
        <f t="array" ref="D107">IF($D$13="mm/dd/yyyy",0,_xlfn.XLOOKUP($D$13,_xlfn.CHOOSECOLS('FS-Income Statement 3.05'!$C$5:$Q$5,3,7,11,15),_xlfn.XLOOKUP(A107,'FS-Income Statement 3.05'!$A$7:$A$203,_xlfn.CHOOSECOLS('FS-Income Statement 3.05'!$C$7:$Q$203,3,7,11,15))))</f>
        <v>0</v>
      </c>
      <c r="E107" s="2053">
        <f t="shared" ref="E107:E126" si="60">IF($C$32=0,0,C107/$C$32)</f>
        <v>0</v>
      </c>
      <c r="F107" s="2054">
        <f t="shared" ref="F107:F126" si="61">IF($D$32=0,0,D107/$D$32)</f>
        <v>0</v>
      </c>
      <c r="G107" s="2055">
        <f t="shared" ref="G107:G126" si="62">IFERROR(C107/$C$17,0)</f>
        <v>0</v>
      </c>
      <c r="H107" s="2055">
        <f t="shared" ref="H107:H126" si="63">IFERROR(D107/$D$17,0)</f>
        <v>0</v>
      </c>
      <c r="I107" s="2055">
        <f t="shared" ref="I107:I126" si="64">H107-G107</f>
        <v>0</v>
      </c>
      <c r="J107" s="2054">
        <f t="shared" ref="J107:J126" si="65">IF(OR(AND(C107=0,D107=0),C107="Manual Entry"),0%,IF(AND(G107=0,H107&lt;&gt;0),100%,IF(G107&lt;0,(H107+ABS(G107))/ABS(G107),H107/G107-1)))</f>
        <v>0</v>
      </c>
      <c r="K107" s="991" t="str">
        <f t="shared" ref="K107:K126" si="66">IF(OR(AND(J107&gt;=5%,F107&gt;=5%),AND(J107&gt;=5%,E107&gt;=5%),AND(J107&lt;=-5%,F107&lt;=-5%),AND(J107&lt;=-5%,E107&lt;=-5%),AND(J107&gt;=5%,F107&lt;=-5%),AND(J107&lt;=-5%,F107&gt;=5%),AND(J107&gt;=5%,E107&lt;=-5%),AND(J107&lt;=-5%,E107&gt;=5%)),"Yes","No")</f>
        <v>No</v>
      </c>
    </row>
    <row r="108" spans="1:11" x14ac:dyDescent="0.35">
      <c r="A108" s="411" t="s">
        <v>362</v>
      </c>
      <c r="B108" s="450" t="s">
        <v>363</v>
      </c>
      <c r="C108" s="1936" cm="1">
        <f t="array" ref="C108">IF($C$13="mm/dd/yyyy",0,_xlfn.XLOOKUP($C$13,_xlfn.CHOOSECOLS('FS-Income Statement 3.05'!$C$5:$Q$5,3,7,11,15),_xlfn.XLOOKUP(A108,'FS-Income Statement 3.05'!$A$7:$A$203,_xlfn.CHOOSECOLS('FS-Income Statement 3.05'!$C$7:$Q$203,3,7,11,15)),"Manual Entry"))</f>
        <v>0</v>
      </c>
      <c r="D108" s="988" cm="1">
        <f t="array" ref="D108">IF($D$13="mm/dd/yyyy",0,_xlfn.XLOOKUP($D$13,_xlfn.CHOOSECOLS('FS-Income Statement 3.05'!$C$5:$Q$5,3,7,11,15),_xlfn.XLOOKUP(A108,'FS-Income Statement 3.05'!$A$7:$A$203,_xlfn.CHOOSECOLS('FS-Income Statement 3.05'!$C$7:$Q$203,3,7,11,15))))</f>
        <v>0</v>
      </c>
      <c r="E108" s="2053">
        <f t="shared" si="60"/>
        <v>0</v>
      </c>
      <c r="F108" s="2054">
        <f t="shared" si="61"/>
        <v>0</v>
      </c>
      <c r="G108" s="2055">
        <f t="shared" si="62"/>
        <v>0</v>
      </c>
      <c r="H108" s="2055">
        <f t="shared" si="63"/>
        <v>0</v>
      </c>
      <c r="I108" s="2055">
        <f t="shared" si="64"/>
        <v>0</v>
      </c>
      <c r="J108" s="2054">
        <f t="shared" si="65"/>
        <v>0</v>
      </c>
      <c r="K108" s="991" t="str">
        <f t="shared" si="66"/>
        <v>No</v>
      </c>
    </row>
    <row r="109" spans="1:11" x14ac:dyDescent="0.35">
      <c r="A109" s="411" t="s">
        <v>364</v>
      </c>
      <c r="B109" s="450" t="s">
        <v>365</v>
      </c>
      <c r="C109" s="1936" cm="1">
        <f t="array" ref="C109">IF($C$13="mm/dd/yyyy",0,_xlfn.XLOOKUP($C$13,_xlfn.CHOOSECOLS('FS-Income Statement 3.05'!$C$5:$Q$5,3,7,11,15),_xlfn.XLOOKUP(A109,'FS-Income Statement 3.05'!$A$7:$A$203,_xlfn.CHOOSECOLS('FS-Income Statement 3.05'!$C$7:$Q$203,3,7,11,15)),"Manual Entry"))</f>
        <v>0</v>
      </c>
      <c r="D109" s="988" cm="1">
        <f t="array" ref="D109">IF($D$13="mm/dd/yyyy",0,_xlfn.XLOOKUP($D$13,_xlfn.CHOOSECOLS('FS-Income Statement 3.05'!$C$5:$Q$5,3,7,11,15),_xlfn.XLOOKUP(A109,'FS-Income Statement 3.05'!$A$7:$A$203,_xlfn.CHOOSECOLS('FS-Income Statement 3.05'!$C$7:$Q$203,3,7,11,15))))</f>
        <v>0</v>
      </c>
      <c r="E109" s="2053">
        <f t="shared" si="60"/>
        <v>0</v>
      </c>
      <c r="F109" s="2054">
        <f t="shared" si="61"/>
        <v>0</v>
      </c>
      <c r="G109" s="2055">
        <f t="shared" si="62"/>
        <v>0</v>
      </c>
      <c r="H109" s="2055">
        <f t="shared" si="63"/>
        <v>0</v>
      </c>
      <c r="I109" s="2055">
        <f t="shared" si="64"/>
        <v>0</v>
      </c>
      <c r="J109" s="2054">
        <f t="shared" si="65"/>
        <v>0</v>
      </c>
      <c r="K109" s="991" t="str">
        <f t="shared" si="66"/>
        <v>No</v>
      </c>
    </row>
    <row r="110" spans="1:11" x14ac:dyDescent="0.35">
      <c r="A110" s="411" t="s">
        <v>366</v>
      </c>
      <c r="B110" s="450" t="s">
        <v>367</v>
      </c>
      <c r="C110" s="1936" cm="1">
        <f t="array" ref="C110">IF($C$13="mm/dd/yyyy",0,_xlfn.XLOOKUP($C$13,_xlfn.CHOOSECOLS('FS-Income Statement 3.05'!$C$5:$Q$5,3,7,11,15),_xlfn.XLOOKUP(A110,'FS-Income Statement 3.05'!$A$7:$A$203,_xlfn.CHOOSECOLS('FS-Income Statement 3.05'!$C$7:$Q$203,3,7,11,15)),"Manual Entry"))</f>
        <v>0</v>
      </c>
      <c r="D110" s="988" cm="1">
        <f t="array" ref="D110">IF($D$13="mm/dd/yyyy",0,_xlfn.XLOOKUP($D$13,_xlfn.CHOOSECOLS('FS-Income Statement 3.05'!$C$5:$Q$5,3,7,11,15),_xlfn.XLOOKUP(A110,'FS-Income Statement 3.05'!$A$7:$A$203,_xlfn.CHOOSECOLS('FS-Income Statement 3.05'!$C$7:$Q$203,3,7,11,15))))</f>
        <v>0</v>
      </c>
      <c r="E110" s="2053">
        <f t="shared" si="60"/>
        <v>0</v>
      </c>
      <c r="F110" s="2054">
        <f t="shared" si="61"/>
        <v>0</v>
      </c>
      <c r="G110" s="2055">
        <f t="shared" si="62"/>
        <v>0</v>
      </c>
      <c r="H110" s="2055">
        <f t="shared" si="63"/>
        <v>0</v>
      </c>
      <c r="I110" s="2055">
        <f t="shared" si="64"/>
        <v>0</v>
      </c>
      <c r="J110" s="2054">
        <f t="shared" si="65"/>
        <v>0</v>
      </c>
      <c r="K110" s="991" t="str">
        <f t="shared" si="66"/>
        <v>No</v>
      </c>
    </row>
    <row r="111" spans="1:11" x14ac:dyDescent="0.35">
      <c r="A111" s="411" t="s">
        <v>368</v>
      </c>
      <c r="B111" s="450" t="s">
        <v>369</v>
      </c>
      <c r="C111" s="1936" cm="1">
        <f t="array" ref="C111">IF($C$13="mm/dd/yyyy",0,_xlfn.XLOOKUP($C$13,_xlfn.CHOOSECOLS('FS-Income Statement 3.05'!$C$5:$Q$5,3,7,11,15),_xlfn.XLOOKUP(A111,'FS-Income Statement 3.05'!$A$7:$A$203,_xlfn.CHOOSECOLS('FS-Income Statement 3.05'!$C$7:$Q$203,3,7,11,15)),"Manual Entry"))</f>
        <v>0</v>
      </c>
      <c r="D111" s="988" cm="1">
        <f t="array" ref="D111">IF($D$13="mm/dd/yyyy",0,_xlfn.XLOOKUP($D$13,_xlfn.CHOOSECOLS('FS-Income Statement 3.05'!$C$5:$Q$5,3,7,11,15),_xlfn.XLOOKUP(A111,'FS-Income Statement 3.05'!$A$7:$A$203,_xlfn.CHOOSECOLS('FS-Income Statement 3.05'!$C$7:$Q$203,3,7,11,15))))</f>
        <v>0</v>
      </c>
      <c r="E111" s="2053">
        <f t="shared" si="60"/>
        <v>0</v>
      </c>
      <c r="F111" s="2054">
        <f t="shared" si="61"/>
        <v>0</v>
      </c>
      <c r="G111" s="2055">
        <f t="shared" si="62"/>
        <v>0</v>
      </c>
      <c r="H111" s="2055">
        <f t="shared" si="63"/>
        <v>0</v>
      </c>
      <c r="I111" s="2055">
        <f t="shared" si="64"/>
        <v>0</v>
      </c>
      <c r="J111" s="2054">
        <f t="shared" si="65"/>
        <v>0</v>
      </c>
      <c r="K111" s="991" t="str">
        <f t="shared" si="66"/>
        <v>No</v>
      </c>
    </row>
    <row r="112" spans="1:11" x14ac:dyDescent="0.35">
      <c r="A112" s="411" t="s">
        <v>370</v>
      </c>
      <c r="B112" s="450" t="s">
        <v>371</v>
      </c>
      <c r="C112" s="1936" cm="1">
        <f t="array" ref="C112">IF($C$13="mm/dd/yyyy",0,_xlfn.XLOOKUP($C$13,_xlfn.CHOOSECOLS('FS-Income Statement 3.05'!$C$5:$Q$5,3,7,11,15),_xlfn.XLOOKUP(A112,'FS-Income Statement 3.05'!$A$7:$A$203,_xlfn.CHOOSECOLS('FS-Income Statement 3.05'!$C$7:$Q$203,3,7,11,15)),"Manual Entry"))</f>
        <v>0</v>
      </c>
      <c r="D112" s="988" cm="1">
        <f t="array" ref="D112">IF($D$13="mm/dd/yyyy",0,_xlfn.XLOOKUP($D$13,_xlfn.CHOOSECOLS('FS-Income Statement 3.05'!$C$5:$Q$5,3,7,11,15),_xlfn.XLOOKUP(A112,'FS-Income Statement 3.05'!$A$7:$A$203,_xlfn.CHOOSECOLS('FS-Income Statement 3.05'!$C$7:$Q$203,3,7,11,15))))</f>
        <v>0</v>
      </c>
      <c r="E112" s="2053">
        <f t="shared" si="60"/>
        <v>0</v>
      </c>
      <c r="F112" s="2054">
        <f t="shared" si="61"/>
        <v>0</v>
      </c>
      <c r="G112" s="2055">
        <f t="shared" si="62"/>
        <v>0</v>
      </c>
      <c r="H112" s="2055">
        <f t="shared" si="63"/>
        <v>0</v>
      </c>
      <c r="I112" s="2055">
        <f t="shared" si="64"/>
        <v>0</v>
      </c>
      <c r="J112" s="2054">
        <f t="shared" si="65"/>
        <v>0</v>
      </c>
      <c r="K112" s="991" t="str">
        <f t="shared" si="66"/>
        <v>No</v>
      </c>
    </row>
    <row r="113" spans="1:11" x14ac:dyDescent="0.35">
      <c r="A113" s="411" t="s">
        <v>372</v>
      </c>
      <c r="B113" s="450" t="s">
        <v>373</v>
      </c>
      <c r="C113" s="1936" cm="1">
        <f t="array" ref="C113">IF($C$13="mm/dd/yyyy",0,_xlfn.XLOOKUP($C$13,_xlfn.CHOOSECOLS('FS-Income Statement 3.05'!$C$5:$Q$5,3,7,11,15),_xlfn.XLOOKUP(A113,'FS-Income Statement 3.05'!$A$7:$A$203,_xlfn.CHOOSECOLS('FS-Income Statement 3.05'!$C$7:$Q$203,3,7,11,15)),"Manual Entry"))</f>
        <v>0</v>
      </c>
      <c r="D113" s="988" cm="1">
        <f t="array" ref="D113">IF($D$13="mm/dd/yyyy",0,_xlfn.XLOOKUP($D$13,_xlfn.CHOOSECOLS('FS-Income Statement 3.05'!$C$5:$Q$5,3,7,11,15),_xlfn.XLOOKUP(A113,'FS-Income Statement 3.05'!$A$7:$A$203,_xlfn.CHOOSECOLS('FS-Income Statement 3.05'!$C$7:$Q$203,3,7,11,15))))</f>
        <v>0</v>
      </c>
      <c r="E113" s="2053">
        <f t="shared" si="60"/>
        <v>0</v>
      </c>
      <c r="F113" s="2054">
        <f t="shared" si="61"/>
        <v>0</v>
      </c>
      <c r="G113" s="2055">
        <f t="shared" si="62"/>
        <v>0</v>
      </c>
      <c r="H113" s="2055">
        <f t="shared" si="63"/>
        <v>0</v>
      </c>
      <c r="I113" s="2055">
        <f t="shared" si="64"/>
        <v>0</v>
      </c>
      <c r="J113" s="2054">
        <f t="shared" si="65"/>
        <v>0</v>
      </c>
      <c r="K113" s="991" t="str">
        <f t="shared" si="66"/>
        <v>No</v>
      </c>
    </row>
    <row r="114" spans="1:11" x14ac:dyDescent="0.35">
      <c r="A114" s="411" t="s">
        <v>374</v>
      </c>
      <c r="B114" s="450" t="s">
        <v>375</v>
      </c>
      <c r="C114" s="1936" cm="1">
        <f t="array" ref="C114">IF($C$13="mm/dd/yyyy",0,_xlfn.XLOOKUP($C$13,_xlfn.CHOOSECOLS('FS-Income Statement 3.05'!$C$5:$Q$5,3,7,11,15),_xlfn.XLOOKUP(A114,'FS-Income Statement 3.05'!$A$7:$A$203,_xlfn.CHOOSECOLS('FS-Income Statement 3.05'!$C$7:$Q$203,3,7,11,15)),"Manual Entry"))</f>
        <v>0</v>
      </c>
      <c r="D114" s="988" cm="1">
        <f t="array" ref="D114">IF($D$13="mm/dd/yyyy",0,_xlfn.XLOOKUP($D$13,_xlfn.CHOOSECOLS('FS-Income Statement 3.05'!$C$5:$Q$5,3,7,11,15),_xlfn.XLOOKUP(A114,'FS-Income Statement 3.05'!$A$7:$A$203,_xlfn.CHOOSECOLS('FS-Income Statement 3.05'!$C$7:$Q$203,3,7,11,15))))</f>
        <v>0</v>
      </c>
      <c r="E114" s="2053">
        <f t="shared" si="60"/>
        <v>0</v>
      </c>
      <c r="F114" s="2054">
        <f t="shared" si="61"/>
        <v>0</v>
      </c>
      <c r="G114" s="2055">
        <f t="shared" si="62"/>
        <v>0</v>
      </c>
      <c r="H114" s="2055">
        <f t="shared" si="63"/>
        <v>0</v>
      </c>
      <c r="I114" s="2055">
        <f t="shared" si="64"/>
        <v>0</v>
      </c>
      <c r="J114" s="2054">
        <f t="shared" si="65"/>
        <v>0</v>
      </c>
      <c r="K114" s="991" t="str">
        <f t="shared" si="66"/>
        <v>No</v>
      </c>
    </row>
    <row r="115" spans="1:11" x14ac:dyDescent="0.35">
      <c r="A115" s="411" t="s">
        <v>376</v>
      </c>
      <c r="B115" s="450" t="s">
        <v>377</v>
      </c>
      <c r="C115" s="1936" cm="1">
        <f t="array" ref="C115">IF($C$13="mm/dd/yyyy",0,_xlfn.XLOOKUP($C$13,_xlfn.CHOOSECOLS('FS-Income Statement 3.05'!$C$5:$Q$5,3,7,11,15),_xlfn.XLOOKUP(A115,'FS-Income Statement 3.05'!$A$7:$A$203,_xlfn.CHOOSECOLS('FS-Income Statement 3.05'!$C$7:$Q$203,3,7,11,15)),"Manual Entry"))</f>
        <v>0</v>
      </c>
      <c r="D115" s="988" cm="1">
        <f t="array" ref="D115">IF($D$13="mm/dd/yyyy",0,_xlfn.XLOOKUP($D$13,_xlfn.CHOOSECOLS('FS-Income Statement 3.05'!$C$5:$Q$5,3,7,11,15),_xlfn.XLOOKUP(A115,'FS-Income Statement 3.05'!$A$7:$A$203,_xlfn.CHOOSECOLS('FS-Income Statement 3.05'!$C$7:$Q$203,3,7,11,15))))</f>
        <v>0</v>
      </c>
      <c r="E115" s="2053">
        <f t="shared" si="60"/>
        <v>0</v>
      </c>
      <c r="F115" s="2054">
        <f t="shared" si="61"/>
        <v>0</v>
      </c>
      <c r="G115" s="2055">
        <f t="shared" si="62"/>
        <v>0</v>
      </c>
      <c r="H115" s="2055">
        <f t="shared" si="63"/>
        <v>0</v>
      </c>
      <c r="I115" s="2055">
        <f t="shared" si="64"/>
        <v>0</v>
      </c>
      <c r="J115" s="2054">
        <f t="shared" si="65"/>
        <v>0</v>
      </c>
      <c r="K115" s="991" t="str">
        <f t="shared" si="66"/>
        <v>No</v>
      </c>
    </row>
    <row r="116" spans="1:11" x14ac:dyDescent="0.35">
      <c r="A116" s="411" t="s">
        <v>378</v>
      </c>
      <c r="B116" s="450" t="s">
        <v>379</v>
      </c>
      <c r="C116" s="1936" cm="1">
        <f t="array" ref="C116">IF($C$13="mm/dd/yyyy",0,_xlfn.XLOOKUP($C$13,_xlfn.CHOOSECOLS('FS-Income Statement 3.05'!$C$5:$Q$5,3,7,11,15),_xlfn.XLOOKUP(A116,'FS-Income Statement 3.05'!$A$7:$A$203,_xlfn.CHOOSECOLS('FS-Income Statement 3.05'!$C$7:$Q$203,3,7,11,15)),"Manual Entry"))</f>
        <v>0</v>
      </c>
      <c r="D116" s="988" cm="1">
        <f t="array" ref="D116">IF($D$13="mm/dd/yyyy",0,_xlfn.XLOOKUP($D$13,_xlfn.CHOOSECOLS('FS-Income Statement 3.05'!$C$5:$Q$5,3,7,11,15),_xlfn.XLOOKUP(A116,'FS-Income Statement 3.05'!$A$7:$A$203,_xlfn.CHOOSECOLS('FS-Income Statement 3.05'!$C$7:$Q$203,3,7,11,15))))</f>
        <v>0</v>
      </c>
      <c r="E116" s="2053">
        <f t="shared" si="60"/>
        <v>0</v>
      </c>
      <c r="F116" s="2054">
        <f t="shared" si="61"/>
        <v>0</v>
      </c>
      <c r="G116" s="2055">
        <f t="shared" si="62"/>
        <v>0</v>
      </c>
      <c r="H116" s="2055">
        <f t="shared" si="63"/>
        <v>0</v>
      </c>
      <c r="I116" s="2055">
        <f t="shared" si="64"/>
        <v>0</v>
      </c>
      <c r="J116" s="2054">
        <f t="shared" si="65"/>
        <v>0</v>
      </c>
      <c r="K116" s="991" t="str">
        <f t="shared" si="66"/>
        <v>No</v>
      </c>
    </row>
    <row r="117" spans="1:11" x14ac:dyDescent="0.35">
      <c r="A117" s="411" t="s">
        <v>380</v>
      </c>
      <c r="B117" s="450" t="s">
        <v>381</v>
      </c>
      <c r="C117" s="1936" cm="1">
        <f t="array" ref="C117">IF($C$13="mm/dd/yyyy",0,_xlfn.XLOOKUP($C$13,_xlfn.CHOOSECOLS('FS-Income Statement 3.05'!$C$5:$Q$5,3,7,11,15),_xlfn.XLOOKUP(A117,'FS-Income Statement 3.05'!$A$7:$A$203,_xlfn.CHOOSECOLS('FS-Income Statement 3.05'!$C$7:$Q$203,3,7,11,15)),"Manual Entry"))</f>
        <v>0</v>
      </c>
      <c r="D117" s="988" cm="1">
        <f t="array" ref="D117">IF($D$13="mm/dd/yyyy",0,_xlfn.XLOOKUP($D$13,_xlfn.CHOOSECOLS('FS-Income Statement 3.05'!$C$5:$Q$5,3,7,11,15),_xlfn.XLOOKUP(A117,'FS-Income Statement 3.05'!$A$7:$A$203,_xlfn.CHOOSECOLS('FS-Income Statement 3.05'!$C$7:$Q$203,3,7,11,15))))</f>
        <v>0</v>
      </c>
      <c r="E117" s="2053">
        <f t="shared" si="60"/>
        <v>0</v>
      </c>
      <c r="F117" s="2054">
        <f t="shared" si="61"/>
        <v>0</v>
      </c>
      <c r="G117" s="2055">
        <f t="shared" si="62"/>
        <v>0</v>
      </c>
      <c r="H117" s="2055">
        <f t="shared" si="63"/>
        <v>0</v>
      </c>
      <c r="I117" s="2055">
        <f t="shared" si="64"/>
        <v>0</v>
      </c>
      <c r="J117" s="2054">
        <f t="shared" si="65"/>
        <v>0</v>
      </c>
      <c r="K117" s="991" t="str">
        <f t="shared" si="66"/>
        <v>No</v>
      </c>
    </row>
    <row r="118" spans="1:11" x14ac:dyDescent="0.35">
      <c r="A118" s="411" t="s">
        <v>382</v>
      </c>
      <c r="B118" s="450" t="s">
        <v>383</v>
      </c>
      <c r="C118" s="1936" cm="1">
        <f t="array" ref="C118">IF($C$13="mm/dd/yyyy",0,_xlfn.XLOOKUP($C$13,_xlfn.CHOOSECOLS('FS-Income Statement 3.05'!$C$5:$Q$5,3,7,11,15),_xlfn.XLOOKUP(A118,'FS-Income Statement 3.05'!$A$7:$A$203,_xlfn.CHOOSECOLS('FS-Income Statement 3.05'!$C$7:$Q$203,3,7,11,15)),"Manual Entry"))</f>
        <v>0</v>
      </c>
      <c r="D118" s="988" cm="1">
        <f t="array" ref="D118">IF($D$13="mm/dd/yyyy",0,_xlfn.XLOOKUP($D$13,_xlfn.CHOOSECOLS('FS-Income Statement 3.05'!$C$5:$Q$5,3,7,11,15),_xlfn.XLOOKUP(A118,'FS-Income Statement 3.05'!$A$7:$A$203,_xlfn.CHOOSECOLS('FS-Income Statement 3.05'!$C$7:$Q$203,3,7,11,15))))</f>
        <v>0</v>
      </c>
      <c r="E118" s="2053">
        <f t="shared" si="60"/>
        <v>0</v>
      </c>
      <c r="F118" s="2054">
        <f t="shared" si="61"/>
        <v>0</v>
      </c>
      <c r="G118" s="2055">
        <f t="shared" si="62"/>
        <v>0</v>
      </c>
      <c r="H118" s="2055">
        <f t="shared" si="63"/>
        <v>0</v>
      </c>
      <c r="I118" s="2055">
        <f t="shared" si="64"/>
        <v>0</v>
      </c>
      <c r="J118" s="2054">
        <f t="shared" si="65"/>
        <v>0</v>
      </c>
      <c r="K118" s="991" t="str">
        <f t="shared" si="66"/>
        <v>No</v>
      </c>
    </row>
    <row r="119" spans="1:11" x14ac:dyDescent="0.35">
      <c r="A119" s="411" t="s">
        <v>384</v>
      </c>
      <c r="B119" s="450" t="s">
        <v>385</v>
      </c>
      <c r="C119" s="1936" cm="1">
        <f t="array" ref="C119">IF($C$13="mm/dd/yyyy",0,_xlfn.XLOOKUP($C$13,_xlfn.CHOOSECOLS('FS-Income Statement 3.05'!$C$5:$Q$5,3,7,11,15),_xlfn.XLOOKUP(A119,'FS-Income Statement 3.05'!$A$7:$A$203,_xlfn.CHOOSECOLS('FS-Income Statement 3.05'!$C$7:$Q$203,3,7,11,15)),"Manual Entry"))</f>
        <v>0</v>
      </c>
      <c r="D119" s="988" cm="1">
        <f t="array" ref="D119">IF($D$13="mm/dd/yyyy",0,_xlfn.XLOOKUP($D$13,_xlfn.CHOOSECOLS('FS-Income Statement 3.05'!$C$5:$Q$5,3,7,11,15),_xlfn.XLOOKUP(A119,'FS-Income Statement 3.05'!$A$7:$A$203,_xlfn.CHOOSECOLS('FS-Income Statement 3.05'!$C$7:$Q$203,3,7,11,15))))</f>
        <v>0</v>
      </c>
      <c r="E119" s="2053">
        <f t="shared" si="60"/>
        <v>0</v>
      </c>
      <c r="F119" s="2054">
        <f t="shared" si="61"/>
        <v>0</v>
      </c>
      <c r="G119" s="2055">
        <f t="shared" si="62"/>
        <v>0</v>
      </c>
      <c r="H119" s="2055">
        <f t="shared" si="63"/>
        <v>0</v>
      </c>
      <c r="I119" s="2055">
        <f t="shared" si="64"/>
        <v>0</v>
      </c>
      <c r="J119" s="2054">
        <f t="shared" si="65"/>
        <v>0</v>
      </c>
      <c r="K119" s="991" t="str">
        <f t="shared" si="66"/>
        <v>No</v>
      </c>
    </row>
    <row r="120" spans="1:11" x14ac:dyDescent="0.35">
      <c r="A120" s="411" t="s">
        <v>386</v>
      </c>
      <c r="B120" s="450" t="s">
        <v>387</v>
      </c>
      <c r="C120" s="1936" cm="1">
        <f t="array" ref="C120">IF($C$13="mm/dd/yyyy",0,_xlfn.XLOOKUP($C$13,_xlfn.CHOOSECOLS('FS-Income Statement 3.05'!$C$5:$Q$5,3,7,11,15),_xlfn.XLOOKUP(A120,'FS-Income Statement 3.05'!$A$7:$A$203,_xlfn.CHOOSECOLS('FS-Income Statement 3.05'!$C$7:$Q$203,3,7,11,15)),"Manual Entry"))</f>
        <v>0</v>
      </c>
      <c r="D120" s="988" cm="1">
        <f t="array" ref="D120">IF($D$13="mm/dd/yyyy",0,_xlfn.XLOOKUP($D$13,_xlfn.CHOOSECOLS('FS-Income Statement 3.05'!$C$5:$Q$5,3,7,11,15),_xlfn.XLOOKUP(A120,'FS-Income Statement 3.05'!$A$7:$A$203,_xlfn.CHOOSECOLS('FS-Income Statement 3.05'!$C$7:$Q$203,3,7,11,15))))</f>
        <v>0</v>
      </c>
      <c r="E120" s="2053">
        <f t="shared" si="60"/>
        <v>0</v>
      </c>
      <c r="F120" s="2054">
        <f t="shared" si="61"/>
        <v>0</v>
      </c>
      <c r="G120" s="2055">
        <f t="shared" si="62"/>
        <v>0</v>
      </c>
      <c r="H120" s="2055">
        <f t="shared" si="63"/>
        <v>0</v>
      </c>
      <c r="I120" s="2055">
        <f t="shared" si="64"/>
        <v>0</v>
      </c>
      <c r="J120" s="2054">
        <f t="shared" si="65"/>
        <v>0</v>
      </c>
      <c r="K120" s="991" t="str">
        <f t="shared" si="66"/>
        <v>No</v>
      </c>
    </row>
    <row r="121" spans="1:11" x14ac:dyDescent="0.35">
      <c r="A121" s="411" t="s">
        <v>388</v>
      </c>
      <c r="B121" s="450" t="s">
        <v>389</v>
      </c>
      <c r="C121" s="1936" cm="1">
        <f t="array" ref="C121">IF($C$13="mm/dd/yyyy",0,_xlfn.XLOOKUP($C$13,_xlfn.CHOOSECOLS('FS-Income Statement 3.05'!$C$5:$Q$5,3,7,11,15),_xlfn.XLOOKUP(A121,'FS-Income Statement 3.05'!$A$7:$A$203,_xlfn.CHOOSECOLS('FS-Income Statement 3.05'!$C$7:$Q$203,3,7,11,15)),"Manual Entry"))</f>
        <v>0</v>
      </c>
      <c r="D121" s="988" cm="1">
        <f t="array" ref="D121">IF($D$13="mm/dd/yyyy",0,_xlfn.XLOOKUP($D$13,_xlfn.CHOOSECOLS('FS-Income Statement 3.05'!$C$5:$Q$5,3,7,11,15),_xlfn.XLOOKUP(A121,'FS-Income Statement 3.05'!$A$7:$A$203,_xlfn.CHOOSECOLS('FS-Income Statement 3.05'!$C$7:$Q$203,3,7,11,15))))</f>
        <v>0</v>
      </c>
      <c r="E121" s="2053">
        <f t="shared" si="60"/>
        <v>0</v>
      </c>
      <c r="F121" s="2054">
        <f t="shared" si="61"/>
        <v>0</v>
      </c>
      <c r="G121" s="2055">
        <f t="shared" si="62"/>
        <v>0</v>
      </c>
      <c r="H121" s="2055">
        <f t="shared" si="63"/>
        <v>0</v>
      </c>
      <c r="I121" s="2055">
        <f t="shared" si="64"/>
        <v>0</v>
      </c>
      <c r="J121" s="2054">
        <f t="shared" si="65"/>
        <v>0</v>
      </c>
      <c r="K121" s="991" t="str">
        <f t="shared" si="66"/>
        <v>No</v>
      </c>
    </row>
    <row r="122" spans="1:11" x14ac:dyDescent="0.35">
      <c r="A122" s="411" t="s">
        <v>390</v>
      </c>
      <c r="B122" s="450" t="s">
        <v>391</v>
      </c>
      <c r="C122" s="1936" cm="1">
        <f t="array" ref="C122">IF($C$13="mm/dd/yyyy",0,_xlfn.XLOOKUP($C$13,_xlfn.CHOOSECOLS('FS-Income Statement 3.05'!$C$5:$Q$5,3,7,11,15),_xlfn.XLOOKUP(A122,'FS-Income Statement 3.05'!$A$7:$A$203,_xlfn.CHOOSECOLS('FS-Income Statement 3.05'!$C$7:$Q$203,3,7,11,15)),"Manual Entry"))</f>
        <v>0</v>
      </c>
      <c r="D122" s="988" cm="1">
        <f t="array" ref="D122">IF($D$13="mm/dd/yyyy",0,_xlfn.XLOOKUP($D$13,_xlfn.CHOOSECOLS('FS-Income Statement 3.05'!$C$5:$Q$5,3,7,11,15),_xlfn.XLOOKUP(A122,'FS-Income Statement 3.05'!$A$7:$A$203,_xlfn.CHOOSECOLS('FS-Income Statement 3.05'!$C$7:$Q$203,3,7,11,15))))</f>
        <v>0</v>
      </c>
      <c r="E122" s="2053">
        <f t="shared" si="60"/>
        <v>0</v>
      </c>
      <c r="F122" s="2054">
        <f t="shared" si="61"/>
        <v>0</v>
      </c>
      <c r="G122" s="2055">
        <f t="shared" si="62"/>
        <v>0</v>
      </c>
      <c r="H122" s="2055">
        <f t="shared" si="63"/>
        <v>0</v>
      </c>
      <c r="I122" s="2055">
        <f t="shared" si="64"/>
        <v>0</v>
      </c>
      <c r="J122" s="2054">
        <f t="shared" si="65"/>
        <v>0</v>
      </c>
      <c r="K122" s="991" t="str">
        <f t="shared" si="66"/>
        <v>No</v>
      </c>
    </row>
    <row r="123" spans="1:11" x14ac:dyDescent="0.35">
      <c r="A123" s="411" t="s">
        <v>392</v>
      </c>
      <c r="B123" s="28" t="s">
        <v>393</v>
      </c>
      <c r="C123" s="1936" cm="1">
        <f t="array" ref="C123">IF($C$13="mm/dd/yyyy",0,_xlfn.XLOOKUP($C$13,_xlfn.CHOOSECOLS('FS-Income Statement 3.05'!$C$5:$Q$5,3,7,11,15),_xlfn.XLOOKUP(A123,'FS-Income Statement 3.05'!$A$7:$A$203,_xlfn.CHOOSECOLS('FS-Income Statement 3.05'!$C$7:$Q$203,3,7,11,15)),"Manual Entry"))</f>
        <v>0</v>
      </c>
      <c r="D123" s="988" cm="1">
        <f t="array" ref="D123">IF($D$13="mm/dd/yyyy",0,_xlfn.XLOOKUP($D$13,_xlfn.CHOOSECOLS('FS-Income Statement 3.05'!$C$5:$Q$5,3,7,11,15),_xlfn.XLOOKUP(A123,'FS-Income Statement 3.05'!$A$7:$A$203,_xlfn.CHOOSECOLS('FS-Income Statement 3.05'!$C$7:$Q$203,3,7,11,15))))</f>
        <v>0</v>
      </c>
      <c r="E123" s="2053">
        <f t="shared" si="60"/>
        <v>0</v>
      </c>
      <c r="F123" s="2054">
        <f t="shared" si="61"/>
        <v>0</v>
      </c>
      <c r="G123" s="2055">
        <f t="shared" si="62"/>
        <v>0</v>
      </c>
      <c r="H123" s="2055">
        <f t="shared" si="63"/>
        <v>0</v>
      </c>
      <c r="I123" s="2055">
        <f t="shared" si="64"/>
        <v>0</v>
      </c>
      <c r="J123" s="2054">
        <f t="shared" si="65"/>
        <v>0</v>
      </c>
      <c r="K123" s="991" t="str">
        <f t="shared" si="66"/>
        <v>No</v>
      </c>
    </row>
    <row r="124" spans="1:11" x14ac:dyDescent="0.35">
      <c r="A124" s="411" t="s">
        <v>394</v>
      </c>
      <c r="B124" s="28" t="s">
        <v>395</v>
      </c>
      <c r="C124" s="1936" cm="1">
        <f t="array" ref="C124">IF($C$13="mm/dd/yyyy",0,_xlfn.XLOOKUP($C$13,_xlfn.CHOOSECOLS('FS-Income Statement 3.05'!$C$5:$Q$5,3,7,11,15),_xlfn.XLOOKUP(A124,'FS-Income Statement 3.05'!$A$7:$A$203,_xlfn.CHOOSECOLS('FS-Income Statement 3.05'!$C$7:$Q$203,3,7,11,15)),"Manual Entry"))</f>
        <v>0</v>
      </c>
      <c r="D124" s="988" cm="1">
        <f t="array" ref="D124">IF($D$13="mm/dd/yyyy",0,_xlfn.XLOOKUP($D$13,_xlfn.CHOOSECOLS('FS-Income Statement 3.05'!$C$5:$Q$5,3,7,11,15),_xlfn.XLOOKUP(A124,'FS-Income Statement 3.05'!$A$7:$A$203,_xlfn.CHOOSECOLS('FS-Income Statement 3.05'!$C$7:$Q$203,3,7,11,15))))</f>
        <v>0</v>
      </c>
      <c r="E124" s="2053">
        <f t="shared" si="60"/>
        <v>0</v>
      </c>
      <c r="F124" s="2054">
        <f t="shared" si="61"/>
        <v>0</v>
      </c>
      <c r="G124" s="2055">
        <f t="shared" si="62"/>
        <v>0</v>
      </c>
      <c r="H124" s="2055">
        <f t="shared" si="63"/>
        <v>0</v>
      </c>
      <c r="I124" s="2055">
        <f t="shared" si="64"/>
        <v>0</v>
      </c>
      <c r="J124" s="2054">
        <f t="shared" si="65"/>
        <v>0</v>
      </c>
      <c r="K124" s="991" t="str">
        <f t="shared" si="66"/>
        <v>No</v>
      </c>
    </row>
    <row r="125" spans="1:11" x14ac:dyDescent="0.35">
      <c r="A125" s="411" t="s">
        <v>396</v>
      </c>
      <c r="B125" s="450" t="s">
        <v>397</v>
      </c>
      <c r="C125" s="1936" cm="1">
        <f t="array" ref="C125">IF($C$13="mm/dd/yyyy",0,_xlfn.XLOOKUP($C$13,_xlfn.CHOOSECOLS('FS-Income Statement 3.05'!$C$5:$Q$5,3,7,11,15),_xlfn.XLOOKUP(A125,'FS-Income Statement 3.05'!$A$7:$A$203,_xlfn.CHOOSECOLS('FS-Income Statement 3.05'!$C$7:$Q$203,3,7,11,15)),"Manual Entry"))</f>
        <v>0</v>
      </c>
      <c r="D125" s="988" cm="1">
        <f t="array" ref="D125">IF($D$13="mm/dd/yyyy",0,_xlfn.XLOOKUP($D$13,_xlfn.CHOOSECOLS('FS-Income Statement 3.05'!$C$5:$Q$5,3,7,11,15),_xlfn.XLOOKUP(A125,'FS-Income Statement 3.05'!$A$7:$A$203,_xlfn.CHOOSECOLS('FS-Income Statement 3.05'!$C$7:$Q$203,3,7,11,15))))</f>
        <v>0</v>
      </c>
      <c r="E125" s="2053">
        <f t="shared" si="60"/>
        <v>0</v>
      </c>
      <c r="F125" s="2054">
        <f t="shared" si="61"/>
        <v>0</v>
      </c>
      <c r="G125" s="2055">
        <f t="shared" si="62"/>
        <v>0</v>
      </c>
      <c r="H125" s="2055">
        <f t="shared" si="63"/>
        <v>0</v>
      </c>
      <c r="I125" s="2055">
        <f t="shared" si="64"/>
        <v>0</v>
      </c>
      <c r="J125" s="2054">
        <f t="shared" si="65"/>
        <v>0</v>
      </c>
      <c r="K125" s="991" t="str">
        <f t="shared" si="66"/>
        <v>No</v>
      </c>
    </row>
    <row r="126" spans="1:11" ht="15" thickBot="1" x14ac:dyDescent="0.4">
      <c r="A126" s="411" t="s">
        <v>398</v>
      </c>
      <c r="B126" s="450" t="s">
        <v>399</v>
      </c>
      <c r="C126" s="1936" cm="1">
        <f t="array" ref="C126">IF($C$13="mm/dd/yyyy",0,_xlfn.XLOOKUP($C$13,_xlfn.CHOOSECOLS('FS-Income Statement 3.05'!$C$5:$Q$5,3,7,11,15),_xlfn.XLOOKUP(A126,'FS-Income Statement 3.05'!$A$7:$A$203,_xlfn.CHOOSECOLS('FS-Income Statement 3.05'!$C$7:$Q$203,3,7,11,15)),"Manual Entry"))</f>
        <v>0</v>
      </c>
      <c r="D126" s="988" cm="1">
        <f t="array" ref="D126">IF($D$13="mm/dd/yyyy",0,_xlfn.XLOOKUP($D$13,_xlfn.CHOOSECOLS('FS-Income Statement 3.05'!$C$5:$Q$5,3,7,11,15),_xlfn.XLOOKUP(A126,'FS-Income Statement 3.05'!$A$7:$A$203,_xlfn.CHOOSECOLS('FS-Income Statement 3.05'!$C$7:$Q$203,3,7,11,15))))</f>
        <v>0</v>
      </c>
      <c r="E126" s="2053">
        <f t="shared" si="60"/>
        <v>0</v>
      </c>
      <c r="F126" s="2054">
        <f t="shared" si="61"/>
        <v>0</v>
      </c>
      <c r="G126" s="2055">
        <f t="shared" si="62"/>
        <v>0</v>
      </c>
      <c r="H126" s="2055">
        <f t="shared" si="63"/>
        <v>0</v>
      </c>
      <c r="I126" s="2055">
        <f t="shared" si="64"/>
        <v>0</v>
      </c>
      <c r="J126" s="2054">
        <f t="shared" si="65"/>
        <v>0</v>
      </c>
      <c r="K126" s="991" t="str">
        <f t="shared" si="66"/>
        <v>No</v>
      </c>
    </row>
    <row r="127" spans="1:11" ht="15" thickBot="1" x14ac:dyDescent="0.4">
      <c r="A127" s="994">
        <v>84999</v>
      </c>
      <c r="B127" s="998" t="s">
        <v>400</v>
      </c>
      <c r="C127" s="1939">
        <f>SUM(C107:C126)</f>
        <v>0</v>
      </c>
      <c r="D127" s="996">
        <f>SUM(D107:D126)</f>
        <v>0</v>
      </c>
      <c r="E127" s="2059"/>
      <c r="F127" s="2060"/>
      <c r="G127" s="2060"/>
      <c r="H127" s="2060"/>
      <c r="I127" s="2060"/>
      <c r="J127" s="2060"/>
      <c r="K127" s="2061"/>
    </row>
    <row r="128" spans="1:11" s="21" customFormat="1" x14ac:dyDescent="0.35">
      <c r="C128" s="1339"/>
      <c r="D128" s="26"/>
      <c r="E128" s="1339"/>
      <c r="F128" s="1343"/>
      <c r="G128" s="1343"/>
      <c r="H128" s="1343"/>
      <c r="I128" s="1343"/>
      <c r="J128" s="1343"/>
      <c r="K128" s="26"/>
    </row>
    <row r="129" spans="1:11" s="21" customFormat="1" ht="15" thickBot="1" x14ac:dyDescent="0.4">
      <c r="A129" s="411" t="s">
        <v>401</v>
      </c>
      <c r="B129" s="412" t="s">
        <v>402</v>
      </c>
      <c r="C129" s="1936" cm="1">
        <f t="array" ref="C129">IF($C$13="mm/dd/yyyy",0,_xlfn.XLOOKUP($C$13,_xlfn.CHOOSECOLS('FS-Income Statement 3.05'!$C$5:$Q$5,3,7,11,15),_xlfn.XLOOKUP(A129,'FS-Income Statement 3.05'!$A$7:$A$203,_xlfn.CHOOSECOLS('FS-Income Statement 3.05'!$C$7:$Q$203,3,7,11,15)),"Manual Entry"))</f>
        <v>0</v>
      </c>
      <c r="D129" s="988" cm="1">
        <f t="array" ref="D129">IF($D$13="mm/dd/yyyy",0,_xlfn.XLOOKUP($D$13,_xlfn.CHOOSECOLS('FS-Income Statement 3.05'!$C$5:$Q$5,3,7,11,15),_xlfn.XLOOKUP(A129,'FS-Income Statement 3.05'!$A$7:$A$203,_xlfn.CHOOSECOLS('FS-Income Statement 3.05'!$C$7:$Q$203,3,7,11,15))))</f>
        <v>0</v>
      </c>
      <c r="E129" s="2053">
        <f t="shared" ref="E129" si="67">IF($C$32=0,0,C129/$C$32)</f>
        <v>0</v>
      </c>
      <c r="F129" s="2054">
        <f t="shared" ref="F129" si="68">IF($D$32=0,0,D129/$D$32)</f>
        <v>0</v>
      </c>
      <c r="G129" s="2055">
        <f t="shared" ref="G129" si="69">IFERROR(C129/$C$17,0)</f>
        <v>0</v>
      </c>
      <c r="H129" s="2055">
        <f t="shared" ref="H129" si="70">IFERROR(D129/$D$17,0)</f>
        <v>0</v>
      </c>
      <c r="I129" s="2055">
        <f t="shared" ref="I129" si="71">H129-G129</f>
        <v>0</v>
      </c>
      <c r="J129" s="2054">
        <f t="shared" ref="J129" si="72">IF(OR(AND(C129=0,D129=0),C129="Manual Entry"),0%,IF(AND(G129=0,H129&lt;&gt;0),100%,IF(G129&lt;0,(H129+ABS(G129))/ABS(G129),H129/G129-1)))</f>
        <v>0</v>
      </c>
      <c r="K129" s="991" t="str">
        <f t="shared" ref="K129" si="73">IF(OR(AND(J129&gt;=5%,F129&gt;=5%),AND(J129&gt;=5%,E129&gt;=5%),AND(J129&lt;=-5%,F129&lt;=-5%),AND(J129&lt;=-5%,E129&lt;=-5%),AND(J129&gt;=5%,F129&lt;=-5%),AND(J129&lt;=-5%,F129&gt;=5%),AND(J129&gt;=5%,E129&lt;=-5%),AND(J129&lt;=-5%,E129&gt;=5%)),"Yes","No")</f>
        <v>No</v>
      </c>
    </row>
    <row r="130" spans="1:11" ht="15" thickBot="1" x14ac:dyDescent="0.4">
      <c r="A130" s="994">
        <v>86999</v>
      </c>
      <c r="B130" s="998" t="s">
        <v>403</v>
      </c>
      <c r="C130" s="1939">
        <f>C105+C127+C129</f>
        <v>0</v>
      </c>
      <c r="D130" s="996">
        <f>D105+D127+D129</f>
        <v>0</v>
      </c>
      <c r="E130" s="2059"/>
      <c r="F130" s="2060"/>
      <c r="G130" s="2060"/>
      <c r="H130" s="2060"/>
      <c r="I130" s="2060"/>
      <c r="J130" s="2060"/>
      <c r="K130" s="2061"/>
    </row>
    <row r="131" spans="1:11" s="21" customFormat="1" x14ac:dyDescent="0.35">
      <c r="A131" s="462"/>
      <c r="B131" s="26"/>
      <c r="C131" s="1941"/>
      <c r="D131" s="1004"/>
      <c r="E131" s="1339"/>
      <c r="F131" s="1343"/>
      <c r="G131" s="1343"/>
      <c r="H131" s="1343"/>
      <c r="I131" s="1343"/>
      <c r="J131" s="1343"/>
      <c r="K131" s="26"/>
    </row>
    <row r="132" spans="1:11" x14ac:dyDescent="0.35">
      <c r="A132" s="470">
        <v>87999</v>
      </c>
      <c r="B132" s="471" t="s">
        <v>404</v>
      </c>
      <c r="C132" s="1940">
        <f>IFERROR((C32-C29)-C130,0)</f>
        <v>0</v>
      </c>
      <c r="D132" s="1000">
        <f>(D32-D29)-D130</f>
        <v>0</v>
      </c>
      <c r="E132" s="2065"/>
      <c r="F132" s="2051"/>
      <c r="G132" s="2051"/>
      <c r="H132" s="2051"/>
      <c r="I132" s="2051"/>
      <c r="J132" s="2051"/>
      <c r="K132" s="2066"/>
    </row>
    <row r="133" spans="1:11" x14ac:dyDescent="0.35">
      <c r="A133" s="480" t="s">
        <v>405</v>
      </c>
      <c r="B133" s="481" t="s">
        <v>406</v>
      </c>
      <c r="C133" s="1936">
        <f>C29</f>
        <v>0</v>
      </c>
      <c r="D133" s="988">
        <f>D29</f>
        <v>0</v>
      </c>
      <c r="E133" s="2065"/>
      <c r="F133" s="2051"/>
      <c r="G133" s="2051"/>
      <c r="H133" s="2051"/>
      <c r="I133" s="2051"/>
      <c r="J133" s="2051"/>
      <c r="K133" s="2066"/>
    </row>
    <row r="134" spans="1:11" x14ac:dyDescent="0.35">
      <c r="A134" s="480" t="s">
        <v>407</v>
      </c>
      <c r="B134" s="481" t="s">
        <v>408</v>
      </c>
      <c r="C134" s="1936" cm="1">
        <f t="array" ref="C134">IF($C$13="mm/dd/yyyy",0,_xlfn.XLOOKUP($C$13,_xlfn.CHOOSECOLS('FS-Income Statement 3.05'!$C$5:$Q$5,3,7,11,15),_xlfn.XLOOKUP(A134,'FS-Income Statement 3.05'!$A$7:$A$203,_xlfn.CHOOSECOLS('FS-Income Statement 3.05'!$C$7:$Q$203,3,7,11,15)),"Manual Entry"))</f>
        <v>0</v>
      </c>
      <c r="D134" s="988" cm="1">
        <f t="array" ref="D134">IF($D$13="mm/dd/yyyy",0,_xlfn.XLOOKUP($D$13,_xlfn.CHOOSECOLS('FS-Income Statement 3.05'!$C$5:$Q$5,3,7,11,15),_xlfn.XLOOKUP(A134,'FS-Income Statement 3.05'!$A$7:$A$203,_xlfn.CHOOSECOLS('FS-Income Statement 3.05'!$C$7:$Q$203,3,7,11,15))))</f>
        <v>0</v>
      </c>
      <c r="E134" s="2065"/>
      <c r="F134" s="2051"/>
      <c r="G134" s="2051"/>
      <c r="H134" s="2051"/>
      <c r="I134" s="2051"/>
      <c r="J134" s="2051"/>
      <c r="K134" s="2066"/>
    </row>
    <row r="135" spans="1:11" x14ac:dyDescent="0.35">
      <c r="A135" s="470">
        <v>88999</v>
      </c>
      <c r="B135" s="488" t="s">
        <v>409</v>
      </c>
      <c r="C135" s="1940">
        <f>IFERROR(C133+C134,0)</f>
        <v>0</v>
      </c>
      <c r="D135" s="1000">
        <f>D133+D134</f>
        <v>0</v>
      </c>
      <c r="E135" s="2065"/>
      <c r="F135" s="2051"/>
      <c r="G135" s="2051"/>
      <c r="H135" s="2051"/>
      <c r="I135" s="2051"/>
      <c r="J135" s="2051"/>
      <c r="K135" s="2066"/>
    </row>
    <row r="136" spans="1:11" ht="15" thickBot="1" x14ac:dyDescent="0.4">
      <c r="A136" s="1005"/>
      <c r="B136" s="1006"/>
      <c r="C136" s="1936"/>
      <c r="D136" s="988"/>
      <c r="E136" s="2027"/>
      <c r="F136" s="2029"/>
      <c r="G136" s="2029"/>
      <c r="H136" s="2029"/>
      <c r="I136" s="2029"/>
      <c r="J136" s="2029"/>
      <c r="K136" s="2050"/>
    </row>
    <row r="137" spans="1:11" ht="15" thickBot="1" x14ac:dyDescent="0.4">
      <c r="A137" s="501">
        <v>89999</v>
      </c>
      <c r="B137" s="633" t="s">
        <v>410</v>
      </c>
      <c r="C137" s="1247">
        <f>C132+C135</f>
        <v>0</v>
      </c>
      <c r="D137" s="1007">
        <f>D132+D135</f>
        <v>0</v>
      </c>
      <c r="E137" s="2059"/>
      <c r="F137" s="2060"/>
      <c r="G137" s="2060"/>
      <c r="H137" s="2060"/>
      <c r="I137" s="2060"/>
      <c r="J137" s="2060"/>
      <c r="K137" s="2061"/>
    </row>
    <row r="138" spans="1:11" x14ac:dyDescent="0.35">
      <c r="A138" s="480"/>
      <c r="B138" s="818"/>
      <c r="C138" s="1936"/>
      <c r="D138" s="988"/>
      <c r="E138" s="2027"/>
      <c r="F138" s="2029"/>
      <c r="G138" s="2029"/>
      <c r="H138" s="2029"/>
      <c r="I138" s="2029"/>
      <c r="J138" s="2029"/>
      <c r="K138" s="2050"/>
    </row>
    <row r="139" spans="1:11" x14ac:dyDescent="0.35">
      <c r="A139" s="411" t="s">
        <v>411</v>
      </c>
      <c r="B139" s="450" t="s">
        <v>412</v>
      </c>
      <c r="C139" s="1936" cm="1">
        <f t="array" ref="C139">IF($C$13="mm/dd/yyyy",0,_xlfn.XLOOKUP($C$13,_xlfn.CHOOSECOLS('FS-Income Statement 3.05'!$C$5:$Q$5,3,7,11,15),_xlfn.XLOOKUP(A139,'FS-Income Statement 3.05'!$A$7:$A$203,_xlfn.CHOOSECOLS('FS-Income Statement 3.05'!$C$7:$Q$203,3,7,11,15)),"Manual Entry"))</f>
        <v>0</v>
      </c>
      <c r="D139" s="988" cm="1">
        <f t="array" ref="D139">IF($D$13="mm/dd/yyyy",0,_xlfn.XLOOKUP($D$13,_xlfn.CHOOSECOLS('FS-Income Statement 3.05'!$C$5:$Q$5,3,7,11,15),_xlfn.XLOOKUP(A139,'FS-Income Statement 3.05'!$A$7:$A$203,_xlfn.CHOOSECOLS('FS-Income Statement 3.05'!$C$7:$Q$203,3,7,11,15))))</f>
        <v>0</v>
      </c>
      <c r="E139" s="2053">
        <f t="shared" ref="E139" si="74">IF($C$32=0,0,C139/$C$32)</f>
        <v>0</v>
      </c>
      <c r="F139" s="2054">
        <f t="shared" ref="F139" si="75">IF($D$32=0,0,D139/$D$32)</f>
        <v>0</v>
      </c>
      <c r="G139" s="2055">
        <f t="shared" ref="G139" si="76">IFERROR(C139/$C$17,0)</f>
        <v>0</v>
      </c>
      <c r="H139" s="2055">
        <f t="shared" ref="H139" si="77">IFERROR(D139/$D$17,0)</f>
        <v>0</v>
      </c>
      <c r="I139" s="2055">
        <f t="shared" ref="I139" si="78">H139-G139</f>
        <v>0</v>
      </c>
      <c r="J139" s="2054">
        <f t="shared" ref="J139" si="79">IF(OR(AND(C139=0,D139=0),C139="Manual Entry"),0%,IF(AND(G139=0,H139&lt;&gt;0),100%,IF(G139&lt;0,(H139+ABS(G139))/ABS(G139),H139/G139-1)))</f>
        <v>0</v>
      </c>
      <c r="K139" s="991" t="str">
        <f t="shared" ref="K139" si="80">IF(OR(AND(J139&gt;=5%,F139&gt;=5%),AND(J139&gt;=5%,E139&gt;=5%),AND(J139&lt;=-5%,F139&lt;=-5%),AND(J139&lt;=-5%,E139&lt;=-5%),AND(J139&gt;=5%,F139&lt;=-5%),AND(J139&lt;=-5%,F139&gt;=5%),AND(J139&gt;=5%,E139&lt;=-5%),AND(J139&lt;=-5%,E139&gt;=5%)),"Yes","No")</f>
        <v>No</v>
      </c>
    </row>
    <row r="140" spans="1:11" ht="15" thickBot="1" x14ac:dyDescent="0.4">
      <c r="A140" s="606"/>
      <c r="B140" s="607"/>
      <c r="C140" s="1938"/>
      <c r="D140" s="992"/>
      <c r="E140" s="2067"/>
      <c r="F140" s="2068"/>
      <c r="G140" s="2068"/>
      <c r="H140" s="2068"/>
      <c r="I140" s="2068"/>
      <c r="J140" s="2068"/>
      <c r="K140" s="2069"/>
    </row>
    <row r="141" spans="1:11" ht="15" thickBot="1" x14ac:dyDescent="0.4">
      <c r="A141" s="994">
        <v>99999</v>
      </c>
      <c r="B141" s="998" t="s">
        <v>413</v>
      </c>
      <c r="C141" s="1939">
        <f>IFERROR(C137-C139,0)</f>
        <v>0</v>
      </c>
      <c r="D141" s="996">
        <f>IFERROR(D137-D139,0)</f>
        <v>0</v>
      </c>
      <c r="E141" s="2059"/>
      <c r="F141" s="2060"/>
      <c r="G141" s="2060"/>
      <c r="H141" s="2060"/>
      <c r="I141" s="2060"/>
      <c r="J141" s="2060"/>
      <c r="K141" s="2061"/>
    </row>
    <row r="142" spans="1:11" x14ac:dyDescent="0.35">
      <c r="A142" s="411"/>
      <c r="B142" s="450"/>
      <c r="C142" s="1936"/>
      <c r="D142" s="988"/>
      <c r="E142" s="2027"/>
      <c r="F142" s="2029"/>
      <c r="G142" s="2029"/>
      <c r="H142" s="2029"/>
      <c r="I142" s="2029"/>
      <c r="J142" s="2029"/>
      <c r="K142" s="2050"/>
    </row>
    <row r="143" spans="1:11" x14ac:dyDescent="0.35">
      <c r="A143" s="411" t="s">
        <v>414</v>
      </c>
      <c r="B143" s="450" t="s">
        <v>415</v>
      </c>
      <c r="C143" s="1936" cm="1">
        <f t="array" ref="C143">IF($C$13="mm/dd/yyyy",0,_xlfn.XLOOKUP($C$13,_xlfn.CHOOSECOLS('FS-Income Statement 3.05'!$C$5:$Q$5,3,7,11,15),_xlfn.XLOOKUP(A143,'FS-Income Statement 3.05'!$A$7:$A$203,_xlfn.CHOOSECOLS('FS-Income Statement 3.05'!$C$7:$Q$203,3,7,11,15)),"Manual Entry"))</f>
        <v>0</v>
      </c>
      <c r="D143" s="988" cm="1">
        <f t="array" ref="D143">IF($D$13="mm/dd/yyyy",0,_xlfn.XLOOKUP($D$13,_xlfn.CHOOSECOLS('FS-Income Statement 3.05'!$C$5:$Q$5,3,7,11,15),_xlfn.XLOOKUP(A143,'FS-Income Statement 3.05'!$A$7:$A$203,_xlfn.CHOOSECOLS('FS-Income Statement 3.05'!$C$7:$Q$203,3,7,11,15))))</f>
        <v>0</v>
      </c>
      <c r="E143" s="2065"/>
      <c r="F143" s="2051"/>
      <c r="G143" s="2051"/>
      <c r="H143" s="2051"/>
      <c r="I143" s="2051"/>
      <c r="J143" s="2051"/>
      <c r="K143" s="2066"/>
    </row>
    <row r="144" spans="1:11" x14ac:dyDescent="0.35">
      <c r="A144" s="411" t="s">
        <v>416</v>
      </c>
      <c r="B144" s="538" t="s">
        <v>417</v>
      </c>
      <c r="C144" s="1936" cm="1">
        <f t="array" ref="C144">IF($C$13="mm/dd/yyyy",0,_xlfn.XLOOKUP($C$13,_xlfn.CHOOSECOLS('FS-Income Statement 3.05'!$C$5:$Q$5,3,7,11,15),_xlfn.XLOOKUP(A144,'FS-Income Statement 3.05'!$A$7:$A$203,_xlfn.CHOOSECOLS('FS-Income Statement 3.05'!$C$7:$Q$203,3,7,11,15)),"Manual Entry"))</f>
        <v>0</v>
      </c>
      <c r="D144" s="988" cm="1">
        <f t="array" ref="D144">IF($D$13="mm/dd/yyyy",0,_xlfn.XLOOKUP($D$13,_xlfn.CHOOSECOLS('FS-Income Statement 3.05'!$C$5:$Q$5,3,7,11,15),_xlfn.XLOOKUP(A144,'FS-Income Statement 3.05'!$A$7:$A$203,_xlfn.CHOOSECOLS('FS-Income Statement 3.05'!$C$7:$Q$203,3,7,11,15))))</f>
        <v>0</v>
      </c>
      <c r="E144" s="2065"/>
      <c r="F144" s="2051"/>
      <c r="G144" s="2051"/>
      <c r="H144" s="2051"/>
      <c r="I144" s="2051"/>
      <c r="J144" s="2051"/>
      <c r="K144" s="2066"/>
    </row>
    <row r="145" spans="1:11" x14ac:dyDescent="0.35">
      <c r="A145" s="411" t="s">
        <v>418</v>
      </c>
      <c r="B145" s="538" t="s">
        <v>419</v>
      </c>
      <c r="C145" s="1936" cm="1">
        <f t="array" ref="C145">IF($C$13="mm/dd/yyyy",0,_xlfn.XLOOKUP($C$13,_xlfn.CHOOSECOLS('FS-Income Statement 3.05'!$C$5:$Q$5,3,7,11,15),_xlfn.XLOOKUP(A145,'FS-Income Statement 3.05'!$A$7:$A$203,_xlfn.CHOOSECOLS('FS-Income Statement 3.05'!$C$7:$Q$203,3,7,11,15)),"Manual Entry"))</f>
        <v>0</v>
      </c>
      <c r="D145" s="988" cm="1">
        <f t="array" ref="D145">IF($D$13="mm/dd/yyyy",0,_xlfn.XLOOKUP($D$13,_xlfn.CHOOSECOLS('FS-Income Statement 3.05'!$C$5:$Q$5,3,7,11,15),_xlfn.XLOOKUP(A145,'FS-Income Statement 3.05'!$A$7:$A$203,_xlfn.CHOOSECOLS('FS-Income Statement 3.05'!$C$7:$Q$203,3,7,11,15))))</f>
        <v>0</v>
      </c>
      <c r="E145" s="2065"/>
      <c r="F145" s="2051"/>
      <c r="G145" s="2051"/>
      <c r="H145" s="2051"/>
      <c r="I145" s="2051"/>
      <c r="J145" s="2051"/>
      <c r="K145" s="2066"/>
    </row>
    <row r="146" spans="1:11" x14ac:dyDescent="0.35">
      <c r="A146" s="411" t="s">
        <v>420</v>
      </c>
      <c r="B146" s="538" t="s">
        <v>421</v>
      </c>
      <c r="C146" s="1936" cm="1">
        <f t="array" ref="C146">IF($C$13="mm/dd/yyyy",0,_xlfn.XLOOKUP($C$13,_xlfn.CHOOSECOLS('FS-Income Statement 3.05'!$C$5:$Q$5,3,7,11,15),_xlfn.XLOOKUP(A146,'FS-Income Statement 3.05'!$A$7:$A$203,_xlfn.CHOOSECOLS('FS-Income Statement 3.05'!$C$7:$Q$203,3,7,11,15)),"Manual Entry"))</f>
        <v>0</v>
      </c>
      <c r="D146" s="988" cm="1">
        <f t="array" ref="D146">IF($D$13="mm/dd/yyyy",0,_xlfn.XLOOKUP($D$13,_xlfn.CHOOSECOLS('FS-Income Statement 3.05'!$C$5:$Q$5,3,7,11,15),_xlfn.XLOOKUP(A146,'FS-Income Statement 3.05'!$A$7:$A$203,_xlfn.CHOOSECOLS('FS-Income Statement 3.05'!$C$7:$Q$203,3,7,11,15))))</f>
        <v>0</v>
      </c>
      <c r="E146" s="2065"/>
      <c r="F146" s="2051"/>
      <c r="G146" s="2051"/>
      <c r="H146" s="2051"/>
      <c r="I146" s="2051"/>
      <c r="J146" s="2051"/>
      <c r="K146" s="2066"/>
    </row>
    <row r="147" spans="1:11" ht="15" thickBot="1" x14ac:dyDescent="0.4">
      <c r="A147" s="411"/>
      <c r="B147" s="450"/>
      <c r="C147" s="1936"/>
      <c r="D147" s="988"/>
      <c r="E147" s="2027"/>
      <c r="F147" s="2029"/>
      <c r="G147" s="2029"/>
      <c r="H147" s="2029"/>
      <c r="I147" s="2029"/>
      <c r="J147" s="2029"/>
      <c r="K147" s="2050"/>
    </row>
    <row r="148" spans="1:11" ht="15" thickBot="1" x14ac:dyDescent="0.4">
      <c r="A148" s="994">
        <v>999999</v>
      </c>
      <c r="B148" s="998" t="s">
        <v>422</v>
      </c>
      <c r="C148" s="1939">
        <f>IFERROR(C141-C143-C144-C145-C146,0)</f>
        <v>0</v>
      </c>
      <c r="D148" s="996">
        <f>D141-D143-D144-D145-D146</f>
        <v>0</v>
      </c>
      <c r="E148" s="2059"/>
      <c r="F148" s="2060"/>
      <c r="G148" s="2060"/>
      <c r="H148" s="2060"/>
      <c r="I148" s="2060"/>
      <c r="J148" s="2060"/>
      <c r="K148" s="2061"/>
    </row>
    <row r="150" spans="1:11" ht="15" thickBot="1" x14ac:dyDescent="0.4">
      <c r="A150" s="1008" t="s">
        <v>566</v>
      </c>
      <c r="B150" s="2008"/>
      <c r="C150" s="2008"/>
      <c r="D150" s="2008"/>
      <c r="E150" s="2008"/>
      <c r="F150" s="2008"/>
      <c r="G150" s="2008"/>
      <c r="H150" s="2008"/>
      <c r="I150" s="2008"/>
      <c r="J150" s="2021"/>
      <c r="K150" s="2046"/>
    </row>
    <row r="151" spans="1:11" ht="15" thickBot="1" x14ac:dyDescent="0.4">
      <c r="A151" s="1505" t="s">
        <v>567</v>
      </c>
      <c r="B151" s="2238" t="s">
        <v>568</v>
      </c>
      <c r="C151" s="2239"/>
      <c r="D151" s="2239"/>
      <c r="E151" s="2239"/>
      <c r="F151" s="2239"/>
      <c r="G151" s="2239"/>
      <c r="H151" s="2239"/>
      <c r="I151" s="2239"/>
      <c r="J151" s="2239"/>
      <c r="K151" s="2240"/>
    </row>
    <row r="152" spans="1:11" ht="15" thickBot="1" x14ac:dyDescent="0.4">
      <c r="A152" s="1009" t="s">
        <v>200</v>
      </c>
      <c r="B152" s="2247"/>
      <c r="C152" s="2248"/>
      <c r="D152" s="2248"/>
      <c r="E152" s="2248"/>
      <c r="F152" s="2248"/>
      <c r="G152" s="2248"/>
      <c r="H152" s="2248"/>
      <c r="I152" s="2248"/>
      <c r="J152" s="2248"/>
      <c r="K152" s="2249"/>
    </row>
    <row r="153" spans="1:11" ht="15" thickBot="1" x14ac:dyDescent="0.4">
      <c r="A153" s="1009" t="s">
        <v>202</v>
      </c>
      <c r="B153" s="2247"/>
      <c r="C153" s="2248"/>
      <c r="D153" s="2248"/>
      <c r="E153" s="2248"/>
      <c r="F153" s="2248"/>
      <c r="G153" s="2248"/>
      <c r="H153" s="2248"/>
      <c r="I153" s="2248"/>
      <c r="J153" s="2248"/>
      <c r="K153" s="2249"/>
    </row>
    <row r="154" spans="1:11" ht="15" thickBot="1" x14ac:dyDescent="0.4">
      <c r="A154" s="1009" t="s">
        <v>204</v>
      </c>
      <c r="B154" s="2247"/>
      <c r="C154" s="2248"/>
      <c r="D154" s="2248"/>
      <c r="E154" s="2248"/>
      <c r="F154" s="2248"/>
      <c r="G154" s="2248"/>
      <c r="H154" s="2248"/>
      <c r="I154" s="2248"/>
      <c r="J154" s="2248"/>
      <c r="K154" s="2249"/>
    </row>
    <row r="155" spans="1:11" ht="15" thickBot="1" x14ac:dyDescent="0.4">
      <c r="A155" s="1009" t="s">
        <v>206</v>
      </c>
      <c r="B155" s="2247"/>
      <c r="C155" s="2248"/>
      <c r="D155" s="2248"/>
      <c r="E155" s="2248"/>
      <c r="F155" s="2248"/>
      <c r="G155" s="2248"/>
      <c r="H155" s="2248"/>
      <c r="I155" s="2248"/>
      <c r="J155" s="2248"/>
      <c r="K155" s="2249"/>
    </row>
    <row r="156" spans="1:11" ht="15" thickBot="1" x14ac:dyDescent="0.4">
      <c r="A156" s="1009" t="s">
        <v>208</v>
      </c>
      <c r="B156" s="2247"/>
      <c r="C156" s="2248"/>
      <c r="D156" s="2248"/>
      <c r="E156" s="2248"/>
      <c r="F156" s="2248"/>
      <c r="G156" s="2248"/>
      <c r="H156" s="2248"/>
      <c r="I156" s="2248"/>
      <c r="J156" s="2248"/>
      <c r="K156" s="2249"/>
    </row>
    <row r="157" spans="1:11" ht="15" thickBot="1" x14ac:dyDescent="0.4">
      <c r="A157" s="1009" t="s">
        <v>210</v>
      </c>
      <c r="B157" s="2247"/>
      <c r="C157" s="2248"/>
      <c r="D157" s="2248"/>
      <c r="E157" s="2248"/>
      <c r="F157" s="2248"/>
      <c r="G157" s="2248"/>
      <c r="H157" s="2248"/>
      <c r="I157" s="2248"/>
      <c r="J157" s="2248"/>
      <c r="K157" s="2249"/>
    </row>
    <row r="158" spans="1:11" ht="15" thickBot="1" x14ac:dyDescent="0.4">
      <c r="A158" s="1009" t="s">
        <v>212</v>
      </c>
      <c r="B158" s="2247"/>
      <c r="C158" s="2248"/>
      <c r="D158" s="2248"/>
      <c r="E158" s="2248"/>
      <c r="F158" s="2248"/>
      <c r="G158" s="2248"/>
      <c r="H158" s="2248"/>
      <c r="I158" s="2248"/>
      <c r="J158" s="2248"/>
      <c r="K158" s="2249"/>
    </row>
    <row r="159" spans="1:11" ht="15" thickBot="1" x14ac:dyDescent="0.4">
      <c r="A159" s="1009" t="s">
        <v>215</v>
      </c>
      <c r="B159" s="2247"/>
      <c r="C159" s="2248"/>
      <c r="D159" s="2248"/>
      <c r="E159" s="2248"/>
      <c r="F159" s="2248"/>
      <c r="G159" s="2248"/>
      <c r="H159" s="2248"/>
      <c r="I159" s="2248"/>
      <c r="J159" s="2248"/>
      <c r="K159" s="2249"/>
    </row>
    <row r="160" spans="1:11" ht="15" thickBot="1" x14ac:dyDescent="0.4">
      <c r="A160" s="1009" t="s">
        <v>217</v>
      </c>
      <c r="B160" s="2247"/>
      <c r="C160" s="2248"/>
      <c r="D160" s="2248"/>
      <c r="E160" s="2248"/>
      <c r="F160" s="2248"/>
      <c r="G160" s="2248"/>
      <c r="H160" s="2248"/>
      <c r="I160" s="2248"/>
      <c r="J160" s="2248"/>
      <c r="K160" s="2249"/>
    </row>
    <row r="161" spans="1:11" ht="15" thickBot="1" x14ac:dyDescent="0.4">
      <c r="A161" s="1009" t="s">
        <v>219</v>
      </c>
      <c r="B161" s="2247"/>
      <c r="C161" s="2248"/>
      <c r="D161" s="2248"/>
      <c r="E161" s="2248"/>
      <c r="F161" s="2248"/>
      <c r="G161" s="2248"/>
      <c r="H161" s="2248"/>
      <c r="I161" s="2248"/>
      <c r="J161" s="2248"/>
      <c r="K161" s="2249"/>
    </row>
    <row r="162" spans="1:11" ht="15" thickBot="1" x14ac:dyDescent="0.4">
      <c r="A162" s="1009" t="s">
        <v>223</v>
      </c>
      <c r="B162" s="2247"/>
      <c r="C162" s="2248"/>
      <c r="D162" s="2248"/>
      <c r="E162" s="2248"/>
      <c r="F162" s="2248"/>
      <c r="G162" s="2248"/>
      <c r="H162" s="2248"/>
      <c r="I162" s="2248"/>
      <c r="J162" s="2248"/>
      <c r="K162" s="2249"/>
    </row>
    <row r="163" spans="1:11" ht="15" thickBot="1" x14ac:dyDescent="0.4">
      <c r="A163" s="1009" t="s">
        <v>225</v>
      </c>
      <c r="B163" s="2247"/>
      <c r="C163" s="2248"/>
      <c r="D163" s="2248"/>
      <c r="E163" s="2248"/>
      <c r="F163" s="2248"/>
      <c r="G163" s="2248"/>
      <c r="H163" s="2248"/>
      <c r="I163" s="2248"/>
      <c r="J163" s="2248"/>
      <c r="K163" s="2249"/>
    </row>
    <row r="164" spans="1:11" ht="15" thickBot="1" x14ac:dyDescent="0.4">
      <c r="A164" s="1009" t="s">
        <v>227</v>
      </c>
      <c r="B164" s="2247"/>
      <c r="C164" s="2248"/>
      <c r="D164" s="2248"/>
      <c r="E164" s="2248"/>
      <c r="F164" s="2248"/>
      <c r="G164" s="2248"/>
      <c r="H164" s="2248"/>
      <c r="I164" s="2248"/>
      <c r="J164" s="2248"/>
      <c r="K164" s="2249"/>
    </row>
    <row r="165" spans="1:11" ht="15" thickBot="1" x14ac:dyDescent="0.4">
      <c r="A165" s="1009" t="s">
        <v>229</v>
      </c>
      <c r="B165" s="2247"/>
      <c r="C165" s="2248"/>
      <c r="D165" s="2248"/>
      <c r="E165" s="2248"/>
      <c r="F165" s="2248"/>
      <c r="G165" s="2248"/>
      <c r="H165" s="2248"/>
      <c r="I165" s="2248"/>
      <c r="J165" s="2248"/>
      <c r="K165" s="2249"/>
    </row>
    <row r="166" spans="1:11" ht="15" thickBot="1" x14ac:dyDescent="0.4">
      <c r="A166" s="1009" t="s">
        <v>231</v>
      </c>
      <c r="B166" s="2247"/>
      <c r="C166" s="2248"/>
      <c r="D166" s="2248"/>
      <c r="E166" s="2248"/>
      <c r="F166" s="2248"/>
      <c r="G166" s="2248"/>
      <c r="H166" s="2248"/>
      <c r="I166" s="2248"/>
      <c r="J166" s="2248"/>
      <c r="K166" s="2249"/>
    </row>
    <row r="167" spans="1:11" ht="15" thickBot="1" x14ac:dyDescent="0.4">
      <c r="A167" s="1009" t="s">
        <v>233</v>
      </c>
      <c r="B167" s="2247"/>
      <c r="C167" s="2248"/>
      <c r="D167" s="2248"/>
      <c r="E167" s="2248"/>
      <c r="F167" s="2248"/>
      <c r="G167" s="2248"/>
      <c r="H167" s="2248"/>
      <c r="I167" s="2248"/>
      <c r="J167" s="2248"/>
      <c r="K167" s="2249"/>
    </row>
    <row r="168" spans="1:11" ht="15" thickBot="1" x14ac:dyDescent="0.4">
      <c r="A168" s="1009" t="s">
        <v>238</v>
      </c>
      <c r="B168" s="2247"/>
      <c r="C168" s="2248"/>
      <c r="D168" s="2248"/>
      <c r="E168" s="2248"/>
      <c r="F168" s="2248"/>
      <c r="G168" s="2248"/>
      <c r="H168" s="2248"/>
      <c r="I168" s="2248"/>
      <c r="J168" s="2248"/>
      <c r="K168" s="2249"/>
    </row>
    <row r="169" spans="1:11" ht="15" thickBot="1" x14ac:dyDescent="0.4">
      <c r="A169" s="1009" t="s">
        <v>240</v>
      </c>
      <c r="B169" s="2247"/>
      <c r="C169" s="2248"/>
      <c r="D169" s="2248"/>
      <c r="E169" s="2248"/>
      <c r="F169" s="2248"/>
      <c r="G169" s="2248"/>
      <c r="H169" s="2248"/>
      <c r="I169" s="2248"/>
      <c r="J169" s="2248"/>
      <c r="K169" s="2249"/>
    </row>
    <row r="170" spans="1:11" ht="15" thickBot="1" x14ac:dyDescent="0.4">
      <c r="A170" s="1009" t="s">
        <v>242</v>
      </c>
      <c r="B170" s="2247"/>
      <c r="C170" s="2248"/>
      <c r="D170" s="2248"/>
      <c r="E170" s="2248"/>
      <c r="F170" s="2248"/>
      <c r="G170" s="2248"/>
      <c r="H170" s="2248"/>
      <c r="I170" s="2248"/>
      <c r="J170" s="2248"/>
      <c r="K170" s="2249"/>
    </row>
    <row r="171" spans="1:11" ht="15" thickBot="1" x14ac:dyDescent="0.4">
      <c r="A171" s="1009" t="s">
        <v>244</v>
      </c>
      <c r="B171" s="2247"/>
      <c r="C171" s="2248"/>
      <c r="D171" s="2248"/>
      <c r="E171" s="2248"/>
      <c r="F171" s="2248"/>
      <c r="G171" s="2248"/>
      <c r="H171" s="2248"/>
      <c r="I171" s="2248"/>
      <c r="J171" s="2248"/>
      <c r="K171" s="2249"/>
    </row>
    <row r="172" spans="1:11" ht="15" thickBot="1" x14ac:dyDescent="0.4">
      <c r="A172" s="1009" t="s">
        <v>246</v>
      </c>
      <c r="B172" s="2247"/>
      <c r="C172" s="2248"/>
      <c r="D172" s="2248"/>
      <c r="E172" s="2248"/>
      <c r="F172" s="2248"/>
      <c r="G172" s="2248"/>
      <c r="H172" s="2248"/>
      <c r="I172" s="2248"/>
      <c r="J172" s="2248"/>
      <c r="K172" s="2249"/>
    </row>
    <row r="173" spans="1:11" ht="15" thickBot="1" x14ac:dyDescent="0.4">
      <c r="A173" s="1009" t="s">
        <v>248</v>
      </c>
      <c r="B173" s="2247"/>
      <c r="C173" s="2248"/>
      <c r="D173" s="2248"/>
      <c r="E173" s="2248"/>
      <c r="F173" s="2248"/>
      <c r="G173" s="2248"/>
      <c r="H173" s="2248"/>
      <c r="I173" s="2248"/>
      <c r="J173" s="2248"/>
      <c r="K173" s="2249"/>
    </row>
    <row r="174" spans="1:11" ht="15" thickBot="1" x14ac:dyDescent="0.4">
      <c r="A174" s="1009" t="s">
        <v>250</v>
      </c>
      <c r="B174" s="2247"/>
      <c r="C174" s="2248"/>
      <c r="D174" s="2248"/>
      <c r="E174" s="2248"/>
      <c r="F174" s="2248"/>
      <c r="G174" s="2248"/>
      <c r="H174" s="2248"/>
      <c r="I174" s="2248"/>
      <c r="J174" s="2248"/>
      <c r="K174" s="2249"/>
    </row>
    <row r="175" spans="1:11" ht="15" thickBot="1" x14ac:dyDescent="0.4">
      <c r="A175" s="1009" t="s">
        <v>252</v>
      </c>
      <c r="B175" s="2247"/>
      <c r="C175" s="2248"/>
      <c r="D175" s="2248"/>
      <c r="E175" s="2248"/>
      <c r="F175" s="2248"/>
      <c r="G175" s="2248"/>
      <c r="H175" s="2248"/>
      <c r="I175" s="2248"/>
      <c r="J175" s="2248"/>
      <c r="K175" s="2249"/>
    </row>
    <row r="176" spans="1:11" ht="15" thickBot="1" x14ac:dyDescent="0.4">
      <c r="A176" s="1009" t="s">
        <v>254</v>
      </c>
      <c r="B176" s="2247"/>
      <c r="C176" s="2248"/>
      <c r="D176" s="2248"/>
      <c r="E176" s="2248"/>
      <c r="F176" s="2248"/>
      <c r="G176" s="2248"/>
      <c r="H176" s="2248"/>
      <c r="I176" s="2248"/>
      <c r="J176" s="2248"/>
      <c r="K176" s="2249"/>
    </row>
    <row r="177" spans="1:11" ht="15" thickBot="1" x14ac:dyDescent="0.4">
      <c r="A177" s="1009" t="s">
        <v>256</v>
      </c>
      <c r="B177" s="2247"/>
      <c r="C177" s="2248"/>
      <c r="D177" s="2248"/>
      <c r="E177" s="2248"/>
      <c r="F177" s="2248"/>
      <c r="G177" s="2248"/>
      <c r="H177" s="2248"/>
      <c r="I177" s="2248"/>
      <c r="J177" s="2248"/>
      <c r="K177" s="2249"/>
    </row>
    <row r="178" spans="1:11" ht="15" thickBot="1" x14ac:dyDescent="0.4">
      <c r="A178" s="1009" t="s">
        <v>258</v>
      </c>
      <c r="B178" s="2247"/>
      <c r="C178" s="2248"/>
      <c r="D178" s="2248"/>
      <c r="E178" s="2248"/>
      <c r="F178" s="2248"/>
      <c r="G178" s="2248"/>
      <c r="H178" s="2248"/>
      <c r="I178" s="2248"/>
      <c r="J178" s="2248"/>
      <c r="K178" s="2249"/>
    </row>
    <row r="179" spans="1:11" ht="15" thickBot="1" x14ac:dyDescent="0.4">
      <c r="A179" s="1009" t="s">
        <v>260</v>
      </c>
      <c r="B179" s="2247"/>
      <c r="C179" s="2248"/>
      <c r="D179" s="2248"/>
      <c r="E179" s="2248"/>
      <c r="F179" s="2248"/>
      <c r="G179" s="2248"/>
      <c r="H179" s="2248"/>
      <c r="I179" s="2248"/>
      <c r="J179" s="2248"/>
      <c r="K179" s="2249"/>
    </row>
    <row r="180" spans="1:11" ht="15" thickBot="1" x14ac:dyDescent="0.4">
      <c r="A180" s="1009" t="s">
        <v>262</v>
      </c>
      <c r="B180" s="2247"/>
      <c r="C180" s="2248"/>
      <c r="D180" s="2248"/>
      <c r="E180" s="2248"/>
      <c r="F180" s="2248"/>
      <c r="G180" s="2248"/>
      <c r="H180" s="2248"/>
      <c r="I180" s="2248"/>
      <c r="J180" s="2248"/>
      <c r="K180" s="2249"/>
    </row>
    <row r="181" spans="1:11" ht="15" thickBot="1" x14ac:dyDescent="0.4">
      <c r="A181" s="1009" t="s">
        <v>264</v>
      </c>
      <c r="B181" s="2247"/>
      <c r="C181" s="2248"/>
      <c r="D181" s="2248"/>
      <c r="E181" s="2248"/>
      <c r="F181" s="2248"/>
      <c r="G181" s="2248"/>
      <c r="H181" s="2248"/>
      <c r="I181" s="2248"/>
      <c r="J181" s="2248"/>
      <c r="K181" s="2249"/>
    </row>
    <row r="182" spans="1:11" ht="15" thickBot="1" x14ac:dyDescent="0.4">
      <c r="A182" s="1009" t="s">
        <v>266</v>
      </c>
      <c r="B182" s="2247"/>
      <c r="C182" s="2248"/>
      <c r="D182" s="2248"/>
      <c r="E182" s="2248"/>
      <c r="F182" s="2248"/>
      <c r="G182" s="2248"/>
      <c r="H182" s="2248"/>
      <c r="I182" s="2248"/>
      <c r="J182" s="2248"/>
      <c r="K182" s="2249"/>
    </row>
    <row r="183" spans="1:11" ht="15" thickBot="1" x14ac:dyDescent="0.4">
      <c r="A183" s="1009" t="s">
        <v>271</v>
      </c>
      <c r="B183" s="2247"/>
      <c r="C183" s="2248"/>
      <c r="D183" s="2248"/>
      <c r="E183" s="2248"/>
      <c r="F183" s="2248"/>
      <c r="G183" s="2248"/>
      <c r="H183" s="2248"/>
      <c r="I183" s="2248"/>
      <c r="J183" s="2248"/>
      <c r="K183" s="2249"/>
    </row>
    <row r="184" spans="1:11" ht="15" thickBot="1" x14ac:dyDescent="0.4">
      <c r="A184" s="1009" t="s">
        <v>273</v>
      </c>
      <c r="B184" s="2247"/>
      <c r="C184" s="2248"/>
      <c r="D184" s="2248"/>
      <c r="E184" s="2248"/>
      <c r="F184" s="2248"/>
      <c r="G184" s="2248"/>
      <c r="H184" s="2248"/>
      <c r="I184" s="2248"/>
      <c r="J184" s="2248"/>
      <c r="K184" s="2249"/>
    </row>
    <row r="185" spans="1:11" ht="15" thickBot="1" x14ac:dyDescent="0.4">
      <c r="A185" s="1009" t="s">
        <v>275</v>
      </c>
      <c r="B185" s="2247"/>
      <c r="C185" s="2248"/>
      <c r="D185" s="2248"/>
      <c r="E185" s="2248"/>
      <c r="F185" s="2248"/>
      <c r="G185" s="2248"/>
      <c r="H185" s="2248"/>
      <c r="I185" s="2248"/>
      <c r="J185" s="2248"/>
      <c r="K185" s="2249"/>
    </row>
    <row r="186" spans="1:11" ht="15" thickBot="1" x14ac:dyDescent="0.4">
      <c r="A186" s="1009" t="s">
        <v>277</v>
      </c>
      <c r="B186" s="2247"/>
      <c r="C186" s="2248"/>
      <c r="D186" s="2248"/>
      <c r="E186" s="2248"/>
      <c r="F186" s="2248"/>
      <c r="G186" s="2248"/>
      <c r="H186" s="2248"/>
      <c r="I186" s="2248"/>
      <c r="J186" s="2248"/>
      <c r="K186" s="2249"/>
    </row>
    <row r="187" spans="1:11" ht="15" thickBot="1" x14ac:dyDescent="0.4">
      <c r="A187" s="1009" t="s">
        <v>279</v>
      </c>
      <c r="B187" s="2247"/>
      <c r="C187" s="2248"/>
      <c r="D187" s="2248"/>
      <c r="E187" s="2248"/>
      <c r="F187" s="2248"/>
      <c r="G187" s="2248"/>
      <c r="H187" s="2248"/>
      <c r="I187" s="2248"/>
      <c r="J187" s="2248"/>
      <c r="K187" s="2249"/>
    </row>
    <row r="188" spans="1:11" ht="15" thickBot="1" x14ac:dyDescent="0.4">
      <c r="A188" s="1009" t="s">
        <v>281</v>
      </c>
      <c r="B188" s="2247"/>
      <c r="C188" s="2248"/>
      <c r="D188" s="2248"/>
      <c r="E188" s="2248"/>
      <c r="F188" s="2248"/>
      <c r="G188" s="2248"/>
      <c r="H188" s="2248"/>
      <c r="I188" s="2248"/>
      <c r="J188" s="2248"/>
      <c r="K188" s="2249"/>
    </row>
    <row r="189" spans="1:11" ht="15" thickBot="1" x14ac:dyDescent="0.4">
      <c r="A189" s="1009" t="s">
        <v>283</v>
      </c>
      <c r="B189" s="2247"/>
      <c r="C189" s="2248"/>
      <c r="D189" s="2248"/>
      <c r="E189" s="2248"/>
      <c r="F189" s="2248"/>
      <c r="G189" s="2248"/>
      <c r="H189" s="2248"/>
      <c r="I189" s="2248"/>
      <c r="J189" s="2248"/>
      <c r="K189" s="2249"/>
    </row>
    <row r="190" spans="1:11" ht="15" thickBot="1" x14ac:dyDescent="0.4">
      <c r="A190" s="1009" t="s">
        <v>285</v>
      </c>
      <c r="B190" s="2247"/>
      <c r="C190" s="2248"/>
      <c r="D190" s="2248"/>
      <c r="E190" s="2248"/>
      <c r="F190" s="2248"/>
      <c r="G190" s="2248"/>
      <c r="H190" s="2248"/>
      <c r="I190" s="2248"/>
      <c r="J190" s="2248"/>
      <c r="K190" s="2249"/>
    </row>
    <row r="191" spans="1:11" ht="15" thickBot="1" x14ac:dyDescent="0.4">
      <c r="A191" s="1009" t="s">
        <v>287</v>
      </c>
      <c r="B191" s="2247"/>
      <c r="C191" s="2248"/>
      <c r="D191" s="2248"/>
      <c r="E191" s="2248"/>
      <c r="F191" s="2248"/>
      <c r="G191" s="2248"/>
      <c r="H191" s="2248"/>
      <c r="I191" s="2248"/>
      <c r="J191" s="2248"/>
      <c r="K191" s="2249"/>
    </row>
    <row r="192" spans="1:11" ht="15" thickBot="1" x14ac:dyDescent="0.4">
      <c r="A192" s="1009" t="s">
        <v>289</v>
      </c>
      <c r="B192" s="2247"/>
      <c r="C192" s="2248"/>
      <c r="D192" s="2248"/>
      <c r="E192" s="2248"/>
      <c r="F192" s="2248"/>
      <c r="G192" s="2248"/>
      <c r="H192" s="2248"/>
      <c r="I192" s="2248"/>
      <c r="J192" s="2248"/>
      <c r="K192" s="2249"/>
    </row>
    <row r="193" spans="1:11" ht="15" thickBot="1" x14ac:dyDescent="0.4">
      <c r="A193" s="1009" t="s">
        <v>291</v>
      </c>
      <c r="B193" s="2247"/>
      <c r="C193" s="2248"/>
      <c r="D193" s="2248"/>
      <c r="E193" s="2248"/>
      <c r="F193" s="2248"/>
      <c r="G193" s="2248"/>
      <c r="H193" s="2248"/>
      <c r="I193" s="2248"/>
      <c r="J193" s="2248"/>
      <c r="K193" s="2249"/>
    </row>
    <row r="194" spans="1:11" ht="15" thickBot="1" x14ac:dyDescent="0.4">
      <c r="A194" s="1009" t="s">
        <v>293</v>
      </c>
      <c r="B194" s="2247"/>
      <c r="C194" s="2248"/>
      <c r="D194" s="2248"/>
      <c r="E194" s="2248"/>
      <c r="F194" s="2248"/>
      <c r="G194" s="2248"/>
      <c r="H194" s="2248"/>
      <c r="I194" s="2248"/>
      <c r="J194" s="2248"/>
      <c r="K194" s="2249"/>
    </row>
    <row r="195" spans="1:11" ht="15" thickBot="1" x14ac:dyDescent="0.4">
      <c r="A195" s="1009" t="s">
        <v>295</v>
      </c>
      <c r="B195" s="2247"/>
      <c r="C195" s="2248"/>
      <c r="D195" s="2248"/>
      <c r="E195" s="2248"/>
      <c r="F195" s="2248"/>
      <c r="G195" s="2248"/>
      <c r="H195" s="2248"/>
      <c r="I195" s="2248"/>
      <c r="J195" s="2248"/>
      <c r="K195" s="2249"/>
    </row>
    <row r="196" spans="1:11" ht="15" thickBot="1" x14ac:dyDescent="0.4">
      <c r="A196" s="1009" t="s">
        <v>297</v>
      </c>
      <c r="B196" s="2247"/>
      <c r="C196" s="2248"/>
      <c r="D196" s="2248"/>
      <c r="E196" s="2248"/>
      <c r="F196" s="2248"/>
      <c r="G196" s="2248"/>
      <c r="H196" s="2248"/>
      <c r="I196" s="2248"/>
      <c r="J196" s="2248"/>
      <c r="K196" s="2249"/>
    </row>
    <row r="197" spans="1:11" ht="15" thickBot="1" x14ac:dyDescent="0.4">
      <c r="A197" s="1009" t="s">
        <v>299</v>
      </c>
      <c r="B197" s="2247"/>
      <c r="C197" s="2248"/>
      <c r="D197" s="2248"/>
      <c r="E197" s="2248"/>
      <c r="F197" s="2248"/>
      <c r="G197" s="2248"/>
      <c r="H197" s="2248"/>
      <c r="I197" s="2248"/>
      <c r="J197" s="2248"/>
      <c r="K197" s="2249"/>
    </row>
    <row r="198" spans="1:11" ht="15" thickBot="1" x14ac:dyDescent="0.4">
      <c r="A198" s="1009" t="s">
        <v>303</v>
      </c>
      <c r="B198" s="2247"/>
      <c r="C198" s="2248"/>
      <c r="D198" s="2248"/>
      <c r="E198" s="2248"/>
      <c r="F198" s="2248"/>
      <c r="G198" s="2248"/>
      <c r="H198" s="2248"/>
      <c r="I198" s="2248"/>
      <c r="J198" s="2248"/>
      <c r="K198" s="2249"/>
    </row>
    <row r="199" spans="1:11" ht="15" thickBot="1" x14ac:dyDescent="0.4">
      <c r="A199" s="1009" t="s">
        <v>305</v>
      </c>
      <c r="B199" s="2247"/>
      <c r="C199" s="2248"/>
      <c r="D199" s="2248"/>
      <c r="E199" s="2248"/>
      <c r="F199" s="2248"/>
      <c r="G199" s="2248"/>
      <c r="H199" s="2248"/>
      <c r="I199" s="2248"/>
      <c r="J199" s="2248"/>
      <c r="K199" s="2249"/>
    </row>
    <row r="200" spans="1:11" ht="15" thickBot="1" x14ac:dyDescent="0.4">
      <c r="A200" s="1009" t="s">
        <v>307</v>
      </c>
      <c r="B200" s="2247"/>
      <c r="C200" s="2248"/>
      <c r="D200" s="2248"/>
      <c r="E200" s="2248"/>
      <c r="F200" s="2248"/>
      <c r="G200" s="2248"/>
      <c r="H200" s="2248"/>
      <c r="I200" s="2248"/>
      <c r="J200" s="2248"/>
      <c r="K200" s="2249"/>
    </row>
    <row r="201" spans="1:11" ht="15" thickBot="1" x14ac:dyDescent="0.4">
      <c r="A201" s="1009" t="s">
        <v>309</v>
      </c>
      <c r="B201" s="2247"/>
      <c r="C201" s="2248"/>
      <c r="D201" s="2248"/>
      <c r="E201" s="2248"/>
      <c r="F201" s="2248"/>
      <c r="G201" s="2248"/>
      <c r="H201" s="2248"/>
      <c r="I201" s="2248"/>
      <c r="J201" s="2248"/>
      <c r="K201" s="2249"/>
    </row>
    <row r="202" spans="1:11" ht="15" thickBot="1" x14ac:dyDescent="0.4">
      <c r="A202" s="1009" t="s">
        <v>311</v>
      </c>
      <c r="B202" s="2247"/>
      <c r="C202" s="2248"/>
      <c r="D202" s="2248"/>
      <c r="E202" s="2248"/>
      <c r="F202" s="2248"/>
      <c r="G202" s="2248"/>
      <c r="H202" s="2248"/>
      <c r="I202" s="2248"/>
      <c r="J202" s="2248"/>
      <c r="K202" s="2249"/>
    </row>
    <row r="203" spans="1:11" ht="15" thickBot="1" x14ac:dyDescent="0.4">
      <c r="A203" s="1009" t="s">
        <v>313</v>
      </c>
      <c r="B203" s="2247"/>
      <c r="C203" s="2248"/>
      <c r="D203" s="2248"/>
      <c r="E203" s="2248"/>
      <c r="F203" s="2248"/>
      <c r="G203" s="2248"/>
      <c r="H203" s="2248"/>
      <c r="I203" s="2248"/>
      <c r="J203" s="2248"/>
      <c r="K203" s="2249"/>
    </row>
    <row r="204" spans="1:11" ht="15" thickBot="1" x14ac:dyDescent="0.4">
      <c r="A204" s="1009" t="s">
        <v>315</v>
      </c>
      <c r="B204" s="2247"/>
      <c r="C204" s="2248"/>
      <c r="D204" s="2248"/>
      <c r="E204" s="2248"/>
      <c r="F204" s="2248"/>
      <c r="G204" s="2248"/>
      <c r="H204" s="2248"/>
      <c r="I204" s="2248"/>
      <c r="J204" s="2248"/>
      <c r="K204" s="2249"/>
    </row>
    <row r="205" spans="1:11" ht="15" thickBot="1" x14ac:dyDescent="0.4">
      <c r="A205" s="1009" t="s">
        <v>317</v>
      </c>
      <c r="B205" s="2247"/>
      <c r="C205" s="2248"/>
      <c r="D205" s="2248"/>
      <c r="E205" s="2248"/>
      <c r="F205" s="2248"/>
      <c r="G205" s="2248"/>
      <c r="H205" s="2248"/>
      <c r="I205" s="2248"/>
      <c r="J205" s="2248"/>
      <c r="K205" s="2249"/>
    </row>
    <row r="206" spans="1:11" ht="15" thickBot="1" x14ac:dyDescent="0.4">
      <c r="A206" s="1009" t="s">
        <v>319</v>
      </c>
      <c r="B206" s="2247"/>
      <c r="C206" s="2248"/>
      <c r="D206" s="2248"/>
      <c r="E206" s="2248"/>
      <c r="F206" s="2248"/>
      <c r="G206" s="2248"/>
      <c r="H206" s="2248"/>
      <c r="I206" s="2248"/>
      <c r="J206" s="2248"/>
      <c r="K206" s="2249"/>
    </row>
    <row r="207" spans="1:11" ht="15" thickBot="1" x14ac:dyDescent="0.4">
      <c r="A207" s="1009" t="s">
        <v>321</v>
      </c>
      <c r="B207" s="2247"/>
      <c r="C207" s="2248"/>
      <c r="D207" s="2248"/>
      <c r="E207" s="2248"/>
      <c r="F207" s="2248"/>
      <c r="G207" s="2248"/>
      <c r="H207" s="2248"/>
      <c r="I207" s="2248"/>
      <c r="J207" s="2248"/>
      <c r="K207" s="2249"/>
    </row>
    <row r="208" spans="1:11" ht="15" thickBot="1" x14ac:dyDescent="0.4">
      <c r="A208" s="1009" t="s">
        <v>323</v>
      </c>
      <c r="B208" s="2247"/>
      <c r="C208" s="2248"/>
      <c r="D208" s="2248"/>
      <c r="E208" s="2248"/>
      <c r="F208" s="2248"/>
      <c r="G208" s="2248"/>
      <c r="H208" s="2248"/>
      <c r="I208" s="2248"/>
      <c r="J208" s="2248"/>
      <c r="K208" s="2249"/>
    </row>
    <row r="209" spans="1:11" ht="15" thickBot="1" x14ac:dyDescent="0.4">
      <c r="A209" s="1009" t="s">
        <v>325</v>
      </c>
      <c r="B209" s="2247"/>
      <c r="C209" s="2248"/>
      <c r="D209" s="2248"/>
      <c r="E209" s="2248"/>
      <c r="F209" s="2248"/>
      <c r="G209" s="2248"/>
      <c r="H209" s="2248"/>
      <c r="I209" s="2248"/>
      <c r="J209" s="2248"/>
      <c r="K209" s="2249"/>
    </row>
    <row r="210" spans="1:11" ht="15" thickBot="1" x14ac:dyDescent="0.4">
      <c r="A210" s="1009" t="s">
        <v>327</v>
      </c>
      <c r="B210" s="2247"/>
      <c r="C210" s="2248"/>
      <c r="D210" s="2248"/>
      <c r="E210" s="2248"/>
      <c r="F210" s="2248"/>
      <c r="G210" s="2248"/>
      <c r="H210" s="2248"/>
      <c r="I210" s="2248"/>
      <c r="J210" s="2248"/>
      <c r="K210" s="2249"/>
    </row>
    <row r="211" spans="1:11" ht="15" thickBot="1" x14ac:dyDescent="0.4">
      <c r="A211" s="1009" t="s">
        <v>329</v>
      </c>
      <c r="B211" s="2247"/>
      <c r="C211" s="2248"/>
      <c r="D211" s="2248"/>
      <c r="E211" s="2248"/>
      <c r="F211" s="2248"/>
      <c r="G211" s="2248"/>
      <c r="H211" s="2248"/>
      <c r="I211" s="2248"/>
      <c r="J211" s="2248"/>
      <c r="K211" s="2249"/>
    </row>
    <row r="212" spans="1:11" ht="15" thickBot="1" x14ac:dyDescent="0.4">
      <c r="A212" s="1009" t="s">
        <v>331</v>
      </c>
      <c r="B212" s="2247"/>
      <c r="C212" s="2248"/>
      <c r="D212" s="2248"/>
      <c r="E212" s="2248"/>
      <c r="F212" s="2248"/>
      <c r="G212" s="2248"/>
      <c r="H212" s="2248"/>
      <c r="I212" s="2248"/>
      <c r="J212" s="2248"/>
      <c r="K212" s="2249"/>
    </row>
    <row r="213" spans="1:11" ht="15" thickBot="1" x14ac:dyDescent="0.4">
      <c r="A213" s="1009" t="s">
        <v>333</v>
      </c>
      <c r="B213" s="2247"/>
      <c r="C213" s="2248"/>
      <c r="D213" s="2248"/>
      <c r="E213" s="2248"/>
      <c r="F213" s="2248"/>
      <c r="G213" s="2248"/>
      <c r="H213" s="2248"/>
      <c r="I213" s="2248"/>
      <c r="J213" s="2248"/>
      <c r="K213" s="2249"/>
    </row>
    <row r="214" spans="1:11" ht="15" thickBot="1" x14ac:dyDescent="0.4">
      <c r="A214" s="1009" t="s">
        <v>335</v>
      </c>
      <c r="B214" s="2247"/>
      <c r="C214" s="2248"/>
      <c r="D214" s="2248"/>
      <c r="E214" s="2248"/>
      <c r="F214" s="2248"/>
      <c r="G214" s="2248"/>
      <c r="H214" s="2248"/>
      <c r="I214" s="2248"/>
      <c r="J214" s="2248"/>
      <c r="K214" s="2249"/>
    </row>
    <row r="215" spans="1:11" ht="15" thickBot="1" x14ac:dyDescent="0.4">
      <c r="A215" s="1009" t="s">
        <v>337</v>
      </c>
      <c r="B215" s="2247"/>
      <c r="C215" s="2248"/>
      <c r="D215" s="2248"/>
      <c r="E215" s="2248"/>
      <c r="F215" s="2248"/>
      <c r="G215" s="2248"/>
      <c r="H215" s="2248"/>
      <c r="I215" s="2248"/>
      <c r="J215" s="2248"/>
      <c r="K215" s="2249"/>
    </row>
    <row r="216" spans="1:11" ht="15" thickBot="1" x14ac:dyDescent="0.4">
      <c r="A216" s="1009" t="s">
        <v>341</v>
      </c>
      <c r="B216" s="2247"/>
      <c r="C216" s="2248"/>
      <c r="D216" s="2248"/>
      <c r="E216" s="2248"/>
      <c r="F216" s="2248"/>
      <c r="G216" s="2248"/>
      <c r="H216" s="2248"/>
      <c r="I216" s="2248"/>
      <c r="J216" s="2248"/>
      <c r="K216" s="2249"/>
    </row>
    <row r="217" spans="1:11" ht="15" thickBot="1" x14ac:dyDescent="0.4">
      <c r="A217" s="1009" t="s">
        <v>344</v>
      </c>
      <c r="B217" s="2247"/>
      <c r="C217" s="2248"/>
      <c r="D217" s="2248"/>
      <c r="E217" s="2248"/>
      <c r="F217" s="2248"/>
      <c r="G217" s="2248"/>
      <c r="H217" s="2248"/>
      <c r="I217" s="2248"/>
      <c r="J217" s="2248"/>
      <c r="K217" s="2249"/>
    </row>
    <row r="218" spans="1:11" ht="15" thickBot="1" x14ac:dyDescent="0.4">
      <c r="A218" s="1009" t="s">
        <v>348</v>
      </c>
      <c r="B218" s="2247"/>
      <c r="C218" s="2248"/>
      <c r="D218" s="2248"/>
      <c r="E218" s="2248"/>
      <c r="F218" s="2248"/>
      <c r="G218" s="2248"/>
      <c r="H218" s="2248"/>
      <c r="I218" s="2248"/>
      <c r="J218" s="2248"/>
      <c r="K218" s="2249"/>
    </row>
    <row r="219" spans="1:11" ht="15" thickBot="1" x14ac:dyDescent="0.4">
      <c r="A219" s="1009" t="s">
        <v>350</v>
      </c>
      <c r="B219" s="2247"/>
      <c r="C219" s="2248"/>
      <c r="D219" s="2248"/>
      <c r="E219" s="2248"/>
      <c r="F219" s="2248"/>
      <c r="G219" s="2248"/>
      <c r="H219" s="2248"/>
      <c r="I219" s="2248"/>
      <c r="J219" s="2248"/>
      <c r="K219" s="2249"/>
    </row>
    <row r="220" spans="1:11" ht="15" thickBot="1" x14ac:dyDescent="0.4">
      <c r="A220" s="1009" t="s">
        <v>352</v>
      </c>
      <c r="B220" s="2247"/>
      <c r="C220" s="2248"/>
      <c r="D220" s="2248"/>
      <c r="E220" s="2248"/>
      <c r="F220" s="2248"/>
      <c r="G220" s="2248"/>
      <c r="H220" s="2248"/>
      <c r="I220" s="2248"/>
      <c r="J220" s="2248"/>
      <c r="K220" s="2249"/>
    </row>
    <row r="221" spans="1:11" ht="15" thickBot="1" x14ac:dyDescent="0.4">
      <c r="A221" s="1009" t="s">
        <v>354</v>
      </c>
      <c r="B221" s="2247"/>
      <c r="C221" s="2248"/>
      <c r="D221" s="2248"/>
      <c r="E221" s="2248"/>
      <c r="F221" s="2248"/>
      <c r="G221" s="2248"/>
      <c r="H221" s="2248"/>
      <c r="I221" s="2248"/>
      <c r="J221" s="2248"/>
      <c r="K221" s="2249"/>
    </row>
    <row r="222" spans="1:11" ht="15" thickBot="1" x14ac:dyDescent="0.4">
      <c r="A222" s="1009" t="s">
        <v>356</v>
      </c>
      <c r="B222" s="2247"/>
      <c r="C222" s="2248"/>
      <c r="D222" s="2248"/>
      <c r="E222" s="2248"/>
      <c r="F222" s="2248"/>
      <c r="G222" s="2248"/>
      <c r="H222" s="2248"/>
      <c r="I222" s="2248"/>
      <c r="J222" s="2248"/>
      <c r="K222" s="2249"/>
    </row>
    <row r="223" spans="1:11" ht="15" thickBot="1" x14ac:dyDescent="0.4">
      <c r="A223" s="1009" t="s">
        <v>360</v>
      </c>
      <c r="B223" s="2247"/>
      <c r="C223" s="2248"/>
      <c r="D223" s="2248"/>
      <c r="E223" s="2248"/>
      <c r="F223" s="2248"/>
      <c r="G223" s="2248"/>
      <c r="H223" s="2248"/>
      <c r="I223" s="2248"/>
      <c r="J223" s="2248"/>
      <c r="K223" s="2249"/>
    </row>
    <row r="224" spans="1:11" ht="15" thickBot="1" x14ac:dyDescent="0.4">
      <c r="A224" s="1009" t="s">
        <v>362</v>
      </c>
      <c r="B224" s="2247"/>
      <c r="C224" s="2248"/>
      <c r="D224" s="2248"/>
      <c r="E224" s="2248"/>
      <c r="F224" s="2248"/>
      <c r="G224" s="2248"/>
      <c r="H224" s="2248"/>
      <c r="I224" s="2248"/>
      <c r="J224" s="2248"/>
      <c r="K224" s="2249"/>
    </row>
    <row r="225" spans="1:11" ht="15" thickBot="1" x14ac:dyDescent="0.4">
      <c r="A225" s="1009" t="s">
        <v>364</v>
      </c>
      <c r="B225" s="2247"/>
      <c r="C225" s="2248"/>
      <c r="D225" s="2248"/>
      <c r="E225" s="2248"/>
      <c r="F225" s="2248"/>
      <c r="G225" s="2248"/>
      <c r="H225" s="2248"/>
      <c r="I225" s="2248"/>
      <c r="J225" s="2248"/>
      <c r="K225" s="2249"/>
    </row>
    <row r="226" spans="1:11" ht="15" thickBot="1" x14ac:dyDescent="0.4">
      <c r="A226" s="1009" t="s">
        <v>366</v>
      </c>
      <c r="B226" s="2247"/>
      <c r="C226" s="2248"/>
      <c r="D226" s="2248"/>
      <c r="E226" s="2248"/>
      <c r="F226" s="2248"/>
      <c r="G226" s="2248"/>
      <c r="H226" s="2248"/>
      <c r="I226" s="2248"/>
      <c r="J226" s="2248"/>
      <c r="K226" s="2249"/>
    </row>
    <row r="227" spans="1:11" ht="15" thickBot="1" x14ac:dyDescent="0.4">
      <c r="A227" s="1009" t="s">
        <v>368</v>
      </c>
      <c r="B227" s="2247"/>
      <c r="C227" s="2248"/>
      <c r="D227" s="2248"/>
      <c r="E227" s="2248"/>
      <c r="F227" s="2248"/>
      <c r="G227" s="2248"/>
      <c r="H227" s="2248"/>
      <c r="I227" s="2248"/>
      <c r="J227" s="2248"/>
      <c r="K227" s="2249"/>
    </row>
    <row r="228" spans="1:11" ht="15" thickBot="1" x14ac:dyDescent="0.4">
      <c r="A228" s="1009" t="s">
        <v>370</v>
      </c>
      <c r="B228" s="2247"/>
      <c r="C228" s="2248"/>
      <c r="D228" s="2248"/>
      <c r="E228" s="2248"/>
      <c r="F228" s="2248"/>
      <c r="G228" s="2248"/>
      <c r="H228" s="2248"/>
      <c r="I228" s="2248"/>
      <c r="J228" s="2248"/>
      <c r="K228" s="2249"/>
    </row>
    <row r="229" spans="1:11" ht="15" thickBot="1" x14ac:dyDescent="0.4">
      <c r="A229" s="1009" t="s">
        <v>372</v>
      </c>
      <c r="B229" s="2247"/>
      <c r="C229" s="2248"/>
      <c r="D229" s="2248"/>
      <c r="E229" s="2248"/>
      <c r="F229" s="2248"/>
      <c r="G229" s="2248"/>
      <c r="H229" s="2248"/>
      <c r="I229" s="2248"/>
      <c r="J229" s="2248"/>
      <c r="K229" s="2249"/>
    </row>
    <row r="230" spans="1:11" ht="15" thickBot="1" x14ac:dyDescent="0.4">
      <c r="A230" s="1009" t="s">
        <v>374</v>
      </c>
      <c r="B230" s="2247"/>
      <c r="C230" s="2248"/>
      <c r="D230" s="2248"/>
      <c r="E230" s="2248"/>
      <c r="F230" s="2248"/>
      <c r="G230" s="2248"/>
      <c r="H230" s="2248"/>
      <c r="I230" s="2248"/>
      <c r="J230" s="2248"/>
      <c r="K230" s="2249"/>
    </row>
    <row r="231" spans="1:11" ht="15" thickBot="1" x14ac:dyDescent="0.4">
      <c r="A231" s="1009" t="s">
        <v>376</v>
      </c>
      <c r="B231" s="2247"/>
      <c r="C231" s="2248"/>
      <c r="D231" s="2248"/>
      <c r="E231" s="2248"/>
      <c r="F231" s="2248"/>
      <c r="G231" s="2248"/>
      <c r="H231" s="2248"/>
      <c r="I231" s="2248"/>
      <c r="J231" s="2248"/>
      <c r="K231" s="2249"/>
    </row>
    <row r="232" spans="1:11" ht="15" thickBot="1" x14ac:dyDescent="0.4">
      <c r="A232" s="1009" t="s">
        <v>378</v>
      </c>
      <c r="B232" s="2247"/>
      <c r="C232" s="2248"/>
      <c r="D232" s="2248"/>
      <c r="E232" s="2248"/>
      <c r="F232" s="2248"/>
      <c r="G232" s="2248"/>
      <c r="H232" s="2248"/>
      <c r="I232" s="2248"/>
      <c r="J232" s="2248"/>
      <c r="K232" s="2249"/>
    </row>
    <row r="233" spans="1:11" ht="15" thickBot="1" x14ac:dyDescent="0.4">
      <c r="A233" s="1009" t="s">
        <v>380</v>
      </c>
      <c r="B233" s="2247"/>
      <c r="C233" s="2248"/>
      <c r="D233" s="2248"/>
      <c r="E233" s="2248"/>
      <c r="F233" s="2248"/>
      <c r="G233" s="2248"/>
      <c r="H233" s="2248"/>
      <c r="I233" s="2248"/>
      <c r="J233" s="2248"/>
      <c r="K233" s="2249"/>
    </row>
    <row r="234" spans="1:11" ht="15" thickBot="1" x14ac:dyDescent="0.4">
      <c r="A234" s="1009" t="s">
        <v>382</v>
      </c>
      <c r="B234" s="2247"/>
      <c r="C234" s="2248"/>
      <c r="D234" s="2248"/>
      <c r="E234" s="2248"/>
      <c r="F234" s="2248"/>
      <c r="G234" s="2248"/>
      <c r="H234" s="2248"/>
      <c r="I234" s="2248"/>
      <c r="J234" s="2248"/>
      <c r="K234" s="2249"/>
    </row>
    <row r="235" spans="1:11" ht="15" thickBot="1" x14ac:dyDescent="0.4">
      <c r="A235" s="1009" t="s">
        <v>384</v>
      </c>
      <c r="B235" s="2247"/>
      <c r="C235" s="2248"/>
      <c r="D235" s="2248"/>
      <c r="E235" s="2248"/>
      <c r="F235" s="2248"/>
      <c r="G235" s="2248"/>
      <c r="H235" s="2248"/>
      <c r="I235" s="2248"/>
      <c r="J235" s="2248"/>
      <c r="K235" s="2249"/>
    </row>
    <row r="236" spans="1:11" ht="15" thickBot="1" x14ac:dyDescent="0.4">
      <c r="A236" s="1009" t="s">
        <v>386</v>
      </c>
      <c r="B236" s="2247"/>
      <c r="C236" s="2248"/>
      <c r="D236" s="2248"/>
      <c r="E236" s="2248"/>
      <c r="F236" s="2248"/>
      <c r="G236" s="2248"/>
      <c r="H236" s="2248"/>
      <c r="I236" s="2248"/>
      <c r="J236" s="2248"/>
      <c r="K236" s="2249"/>
    </row>
    <row r="237" spans="1:11" ht="15" thickBot="1" x14ac:dyDescent="0.4">
      <c r="A237" s="1009" t="s">
        <v>388</v>
      </c>
      <c r="B237" s="2247"/>
      <c r="C237" s="2248"/>
      <c r="D237" s="2248"/>
      <c r="E237" s="2248"/>
      <c r="F237" s="2248"/>
      <c r="G237" s="2248"/>
      <c r="H237" s="2248"/>
      <c r="I237" s="2248"/>
      <c r="J237" s="2248"/>
      <c r="K237" s="2249"/>
    </row>
    <row r="238" spans="1:11" ht="15" thickBot="1" x14ac:dyDescent="0.4">
      <c r="A238" s="1009" t="s">
        <v>390</v>
      </c>
      <c r="B238" s="2247"/>
      <c r="C238" s="2248"/>
      <c r="D238" s="2248"/>
      <c r="E238" s="2248"/>
      <c r="F238" s="2248"/>
      <c r="G238" s="2248"/>
      <c r="H238" s="2248"/>
      <c r="I238" s="2248"/>
      <c r="J238" s="2248"/>
      <c r="K238" s="2249"/>
    </row>
    <row r="239" spans="1:11" ht="15" thickBot="1" x14ac:dyDescent="0.4">
      <c r="A239" s="1009" t="s">
        <v>392</v>
      </c>
      <c r="B239" s="2247"/>
      <c r="C239" s="2248"/>
      <c r="D239" s="2248"/>
      <c r="E239" s="2248"/>
      <c r="F239" s="2248"/>
      <c r="G239" s="2248"/>
      <c r="H239" s="2248"/>
      <c r="I239" s="2248"/>
      <c r="J239" s="2248"/>
      <c r="K239" s="2249"/>
    </row>
    <row r="240" spans="1:11" ht="15" thickBot="1" x14ac:dyDescent="0.4">
      <c r="A240" s="1009" t="s">
        <v>394</v>
      </c>
      <c r="B240" s="2247"/>
      <c r="C240" s="2248"/>
      <c r="D240" s="2248"/>
      <c r="E240" s="2248"/>
      <c r="F240" s="2248"/>
      <c r="G240" s="2248"/>
      <c r="H240" s="2248"/>
      <c r="I240" s="2248"/>
      <c r="J240" s="2248"/>
      <c r="K240" s="2249"/>
    </row>
    <row r="241" spans="1:11" ht="15" thickBot="1" x14ac:dyDescent="0.4">
      <c r="A241" s="1009" t="s">
        <v>396</v>
      </c>
      <c r="B241" s="2247"/>
      <c r="C241" s="2248"/>
      <c r="D241" s="2248"/>
      <c r="E241" s="2248"/>
      <c r="F241" s="2248"/>
      <c r="G241" s="2248"/>
      <c r="H241" s="2248"/>
      <c r="I241" s="2248"/>
      <c r="J241" s="2248"/>
      <c r="K241" s="2249"/>
    </row>
    <row r="242" spans="1:11" ht="15" thickBot="1" x14ac:dyDescent="0.4">
      <c r="A242" s="1009" t="s">
        <v>398</v>
      </c>
      <c r="B242" s="2247"/>
      <c r="C242" s="2248"/>
      <c r="D242" s="2248"/>
      <c r="E242" s="2248"/>
      <c r="F242" s="2248"/>
      <c r="G242" s="2248"/>
      <c r="H242" s="2248"/>
      <c r="I242" s="2248"/>
      <c r="J242" s="2248"/>
      <c r="K242" s="2249"/>
    </row>
    <row r="243" spans="1:11" ht="15" thickBot="1" x14ac:dyDescent="0.4">
      <c r="A243" s="1009" t="s">
        <v>401</v>
      </c>
      <c r="B243" s="2247"/>
      <c r="C243" s="2248"/>
      <c r="D243" s="2248"/>
      <c r="E243" s="2248"/>
      <c r="F243" s="2248"/>
      <c r="G243" s="2248"/>
      <c r="H243" s="2248"/>
      <c r="I243" s="2248"/>
      <c r="J243" s="2248"/>
      <c r="K243" s="2249"/>
    </row>
    <row r="244" spans="1:11" ht="15" thickBot="1" x14ac:dyDescent="0.4">
      <c r="A244" s="1009" t="s">
        <v>411</v>
      </c>
      <c r="B244" s="2247"/>
      <c r="C244" s="2248"/>
      <c r="D244" s="2248"/>
      <c r="E244" s="2248"/>
      <c r="F244" s="2248"/>
      <c r="G244" s="2248"/>
      <c r="H244" s="2248"/>
      <c r="I244" s="2248"/>
      <c r="J244" s="2248"/>
      <c r="K244" s="2249"/>
    </row>
  </sheetData>
  <mergeCells count="101">
    <mergeCell ref="B151:K151"/>
    <mergeCell ref="B152:K152"/>
    <mergeCell ref="B153:K153"/>
    <mergeCell ref="B154:K154"/>
    <mergeCell ref="I12:I13"/>
    <mergeCell ref="J12:J13"/>
    <mergeCell ref="K12:K13"/>
    <mergeCell ref="E12:E13"/>
    <mergeCell ref="F12:F13"/>
    <mergeCell ref="G12:G13"/>
    <mergeCell ref="H12:H13"/>
    <mergeCell ref="B162:K162"/>
    <mergeCell ref="B161:K161"/>
    <mergeCell ref="B163:K163"/>
    <mergeCell ref="B164:K164"/>
    <mergeCell ref="B165:K165"/>
    <mergeCell ref="B155:K155"/>
    <mergeCell ref="B156:K156"/>
    <mergeCell ref="B159:K159"/>
    <mergeCell ref="B160:K160"/>
    <mergeCell ref="B157:K157"/>
    <mergeCell ref="B158:K158"/>
    <mergeCell ref="B172:K172"/>
    <mergeCell ref="B171:K171"/>
    <mergeCell ref="B173:K173"/>
    <mergeCell ref="B174:K174"/>
    <mergeCell ref="B175:K175"/>
    <mergeCell ref="B166:K166"/>
    <mergeCell ref="B167:K167"/>
    <mergeCell ref="B168:K168"/>
    <mergeCell ref="B169:K169"/>
    <mergeCell ref="B170:K170"/>
    <mergeCell ref="B181:K181"/>
    <mergeCell ref="B182:K182"/>
    <mergeCell ref="B183:K183"/>
    <mergeCell ref="B184:K184"/>
    <mergeCell ref="B185:K185"/>
    <mergeCell ref="B176:K176"/>
    <mergeCell ref="B177:K177"/>
    <mergeCell ref="B178:K178"/>
    <mergeCell ref="B180:K180"/>
    <mergeCell ref="B179:K179"/>
    <mergeCell ref="B191:K191"/>
    <mergeCell ref="B192:K192"/>
    <mergeCell ref="B193:K193"/>
    <mergeCell ref="B194:K194"/>
    <mergeCell ref="B195:K195"/>
    <mergeCell ref="B186:K186"/>
    <mergeCell ref="B188:K188"/>
    <mergeCell ref="B187:K187"/>
    <mergeCell ref="B189:K189"/>
    <mergeCell ref="B190:K190"/>
    <mergeCell ref="B203:K203"/>
    <mergeCell ref="B204:K204"/>
    <mergeCell ref="B205:K205"/>
    <mergeCell ref="B206:K206"/>
    <mergeCell ref="B196:K196"/>
    <mergeCell ref="B197:K197"/>
    <mergeCell ref="B198:K198"/>
    <mergeCell ref="B201:K201"/>
    <mergeCell ref="B202:K202"/>
    <mergeCell ref="B199:K199"/>
    <mergeCell ref="B200:K200"/>
    <mergeCell ref="B212:K212"/>
    <mergeCell ref="B216:K216"/>
    <mergeCell ref="B217:K217"/>
    <mergeCell ref="B218:K218"/>
    <mergeCell ref="B219:K219"/>
    <mergeCell ref="B213:K213"/>
    <mergeCell ref="B214:K214"/>
    <mergeCell ref="B215:K215"/>
    <mergeCell ref="B207:K207"/>
    <mergeCell ref="B208:K208"/>
    <mergeCell ref="B209:K209"/>
    <mergeCell ref="B210:K210"/>
    <mergeCell ref="B211:K211"/>
    <mergeCell ref="B225:K225"/>
    <mergeCell ref="B226:K226"/>
    <mergeCell ref="B227:K227"/>
    <mergeCell ref="B228:K228"/>
    <mergeCell ref="B238:K238"/>
    <mergeCell ref="B220:K220"/>
    <mergeCell ref="B221:K221"/>
    <mergeCell ref="B222:K222"/>
    <mergeCell ref="B223:K223"/>
    <mergeCell ref="B224:K224"/>
    <mergeCell ref="B244:K244"/>
    <mergeCell ref="B229:K229"/>
    <mergeCell ref="B230:K230"/>
    <mergeCell ref="B231:K231"/>
    <mergeCell ref="B232:K232"/>
    <mergeCell ref="B233:K233"/>
    <mergeCell ref="B234:K234"/>
    <mergeCell ref="B235:K235"/>
    <mergeCell ref="B236:K236"/>
    <mergeCell ref="B237:K237"/>
    <mergeCell ref="B239:K239"/>
    <mergeCell ref="B240:K240"/>
    <mergeCell ref="B241:K241"/>
    <mergeCell ref="B242:K242"/>
    <mergeCell ref="B243:K243"/>
  </mergeCells>
  <conditionalFormatting sqref="A152:K244">
    <cfRule type="expression" priority="702" stopIfTrue="1">
      <formula>NOT(ISBLANK($B152))</formula>
    </cfRule>
    <cfRule type="expression" dxfId="82" priority="703">
      <formula>_xlfn.XLOOKUP($A152,$A$21:$A$148,$K$21:$K$148)="Yes"</formula>
    </cfRule>
    <cfRule type="expression" dxfId="81" priority="704">
      <formula>_xlfn.XLOOKUP($A152,$A$21:$A$148,$K$21:$K$148)="No"</formula>
    </cfRule>
  </conditionalFormatting>
  <conditionalFormatting sqref="C17:C127 C129:C148">
    <cfRule type="containsText" dxfId="80" priority="9" operator="containsText" text="Manual Entry">
      <formula>NOT(ISERROR(SEARCH("Manual Entry",C17)))</formula>
    </cfRule>
  </conditionalFormatting>
  <conditionalFormatting sqref="K20:K27 K76:K95">
    <cfRule type="cellIs" dxfId="79" priority="538" operator="equal">
      <formula>"No"</formula>
    </cfRule>
    <cfRule type="cellIs" dxfId="78" priority="539" operator="equal">
      <formula>"Yes"</formula>
    </cfRule>
  </conditionalFormatting>
  <conditionalFormatting sqref="K29:K31">
    <cfRule type="cellIs" dxfId="77" priority="536" operator="equal">
      <formula>"No"</formula>
    </cfRule>
    <cfRule type="cellIs" dxfId="76" priority="537" operator="equal">
      <formula>"Yes"</formula>
    </cfRule>
  </conditionalFormatting>
  <conditionalFormatting sqref="K34:K39">
    <cfRule type="cellIs" dxfId="75" priority="534" operator="equal">
      <formula>"No"</formula>
    </cfRule>
    <cfRule type="cellIs" dxfId="74" priority="535" operator="equal">
      <formula>"Yes"</formula>
    </cfRule>
  </conditionalFormatting>
  <conditionalFormatting sqref="K42:K56">
    <cfRule type="cellIs" dxfId="73" priority="532" operator="equal">
      <formula>"No"</formula>
    </cfRule>
    <cfRule type="cellIs" dxfId="72" priority="533" operator="equal">
      <formula>"Yes"</formula>
    </cfRule>
  </conditionalFormatting>
  <conditionalFormatting sqref="K59:K73">
    <cfRule type="cellIs" dxfId="71" priority="530" operator="equal">
      <formula>"No"</formula>
    </cfRule>
    <cfRule type="cellIs" dxfId="70" priority="531" operator="equal">
      <formula>"Yes"</formula>
    </cfRule>
  </conditionalFormatting>
  <conditionalFormatting sqref="K97">
    <cfRule type="cellIs" dxfId="69" priority="526" operator="equal">
      <formula>"No"</formula>
    </cfRule>
    <cfRule type="cellIs" dxfId="68" priority="527" operator="equal">
      <formula>"Yes"</formula>
    </cfRule>
  </conditionalFormatting>
  <conditionalFormatting sqref="K100:K104">
    <cfRule type="cellIs" dxfId="67" priority="524" operator="equal">
      <formula>"No"</formula>
    </cfRule>
    <cfRule type="cellIs" dxfId="66" priority="525" operator="equal">
      <formula>"Yes"</formula>
    </cfRule>
  </conditionalFormatting>
  <conditionalFormatting sqref="K107:K126">
    <cfRule type="cellIs" dxfId="65" priority="522" operator="equal">
      <formula>"No"</formula>
    </cfRule>
    <cfRule type="cellIs" dxfId="64" priority="523" operator="equal">
      <formula>"Yes"</formula>
    </cfRule>
  </conditionalFormatting>
  <conditionalFormatting sqref="K129">
    <cfRule type="cellIs" dxfId="63" priority="7" operator="equal">
      <formula>"No"</formula>
    </cfRule>
    <cfRule type="cellIs" dxfId="62" priority="8" operator="equal">
      <formula>"Yes"</formula>
    </cfRule>
  </conditionalFormatting>
  <conditionalFormatting sqref="K139">
    <cfRule type="cellIs" dxfId="61" priority="520" operator="equal">
      <formula>"No"</formula>
    </cfRule>
    <cfRule type="cellIs" dxfId="60" priority="521" operator="equal">
      <formula>"Yes"</formula>
    </cfRule>
  </conditionalFormatting>
  <pageMargins left="0.7" right="0.7" top="0.75" bottom="0.75" header="0.3" footer="0.3"/>
  <pageSetup orientation="portrait" horizontalDpi="1200" verticalDpi="1200" r:id="rId1"/>
  <ignoredErrors>
    <ignoredError sqref="B2" unlockedFormula="1"/>
    <ignoredError sqref="C28:D2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7899-4C81-4A0D-98DD-F2BA90EE1B49}">
  <dimension ref="A1:C43"/>
  <sheetViews>
    <sheetView showGridLines="0" tabSelected="1" topLeftCell="A12" zoomScaleNormal="100" workbookViewId="0">
      <selection activeCell="F44" sqref="F44"/>
    </sheetView>
  </sheetViews>
  <sheetFormatPr defaultColWidth="9.1796875" defaultRowHeight="14.5" x14ac:dyDescent="0.35"/>
  <cols>
    <col min="1" max="1" width="22" style="943" bestFit="1" customWidth="1"/>
    <col min="2" max="2" width="71.26953125" style="943" customWidth="1"/>
    <col min="3" max="3" width="19.81640625" style="943" customWidth="1"/>
    <col min="4" max="5" width="18.1796875" style="943" customWidth="1"/>
    <col min="6" max="16384" width="9.1796875" style="943"/>
  </cols>
  <sheetData>
    <row r="1" spans="1:3" ht="15" thickBot="1" x14ac:dyDescent="0.4">
      <c r="A1" s="1509" t="s">
        <v>581</v>
      </c>
      <c r="B1" s="1510"/>
      <c r="C1" s="1511"/>
    </row>
    <row r="2" spans="1:3" x14ac:dyDescent="0.35">
      <c r="A2" s="944" t="s">
        <v>45</v>
      </c>
      <c r="B2" s="861" t="str">
        <f>'Instruction &amp; Audit Report B '!C20</f>
        <v>Select Contractor Name</v>
      </c>
      <c r="C2" s="945"/>
    </row>
    <row r="3" spans="1:3" x14ac:dyDescent="0.35">
      <c r="A3" s="944" t="s">
        <v>555</v>
      </c>
      <c r="B3" s="862" t="str">
        <f>'Instruction &amp; Audit Report B '!C21</f>
        <v>mm/dd/yyyy</v>
      </c>
      <c r="C3" s="945"/>
    </row>
    <row r="4" spans="1:3" x14ac:dyDescent="0.35">
      <c r="A4" s="944" t="s">
        <v>49</v>
      </c>
      <c r="B4" s="946">
        <v>45565</v>
      </c>
      <c r="C4" s="945"/>
    </row>
    <row r="5" spans="1:3" x14ac:dyDescent="0.35">
      <c r="A5" s="944"/>
      <c r="B5" s="946"/>
      <c r="C5" s="945"/>
    </row>
    <row r="6" spans="1:3" ht="14.15" customHeight="1" x14ac:dyDescent="0.35">
      <c r="B6" s="947" t="s">
        <v>582</v>
      </c>
      <c r="C6" s="947"/>
    </row>
    <row r="7" spans="1:3" ht="15" thickBot="1" x14ac:dyDescent="0.4">
      <c r="A7" s="906"/>
      <c r="B7" s="948"/>
      <c r="C7" s="949"/>
    </row>
    <row r="8" spans="1:3" ht="15" thickBot="1" x14ac:dyDescent="0.4">
      <c r="A8" s="906"/>
      <c r="B8" s="1509" t="s">
        <v>482</v>
      </c>
      <c r="C8" s="1512" t="str">
        <f>B3</f>
        <v>mm/dd/yyyy</v>
      </c>
    </row>
    <row r="9" spans="1:3" x14ac:dyDescent="0.35">
      <c r="A9" s="906"/>
      <c r="B9" s="950" t="s">
        <v>583</v>
      </c>
      <c r="C9" s="951">
        <v>0</v>
      </c>
    </row>
    <row r="10" spans="1:3" x14ac:dyDescent="0.35">
      <c r="A10" s="952"/>
      <c r="B10" s="953" t="s">
        <v>584</v>
      </c>
      <c r="C10" s="954">
        <v>0</v>
      </c>
    </row>
    <row r="11" spans="1:3" x14ac:dyDescent="0.35">
      <c r="A11" s="906"/>
      <c r="B11" s="955" t="s">
        <v>585</v>
      </c>
      <c r="C11" s="954">
        <v>0</v>
      </c>
    </row>
    <row r="12" spans="1:3" x14ac:dyDescent="0.35">
      <c r="A12" s="906"/>
      <c r="B12" s="956" t="s">
        <v>586</v>
      </c>
      <c r="C12" s="957">
        <f>+C9+C11-C10</f>
        <v>0</v>
      </c>
    </row>
    <row r="13" spans="1:3" ht="15" thickBot="1" x14ac:dyDescent="0.4">
      <c r="A13" s="906"/>
      <c r="B13" s="958" t="s">
        <v>587</v>
      </c>
      <c r="C13" s="959">
        <v>0</v>
      </c>
    </row>
    <row r="14" spans="1:3" ht="15" thickBot="1" x14ac:dyDescent="0.4">
      <c r="A14" s="906"/>
      <c r="B14" s="1942" t="s">
        <v>588</v>
      </c>
      <c r="C14" s="1943">
        <f>IF(OR(C12=0,C13=0),0,C12/C13)</f>
        <v>0</v>
      </c>
    </row>
    <row r="15" spans="1:3" ht="15" thickBot="1" x14ac:dyDescent="0.4">
      <c r="A15" s="906"/>
      <c r="B15" s="960"/>
      <c r="C15" s="961"/>
    </row>
    <row r="16" spans="1:3" ht="15" thickBot="1" x14ac:dyDescent="0.4">
      <c r="A16" s="906"/>
      <c r="B16" s="1509" t="str">
        <f>IF($B$2="DES-DDD","Equity Per Member - Standard not required for DES-DDD", "Equity Per Member")</f>
        <v>Equity Per Member</v>
      </c>
      <c r="C16" s="1512" t="str">
        <f>B3</f>
        <v>mm/dd/yyyy</v>
      </c>
    </row>
    <row r="17" spans="2:3" x14ac:dyDescent="0.35">
      <c r="B17" s="962" t="s">
        <v>589</v>
      </c>
      <c r="C17" s="951">
        <v>0</v>
      </c>
    </row>
    <row r="18" spans="2:3" x14ac:dyDescent="0.35">
      <c r="B18" s="963" t="s">
        <v>590</v>
      </c>
      <c r="C18" s="954">
        <v>0</v>
      </c>
    </row>
    <row r="19" spans="2:3" x14ac:dyDescent="0.35">
      <c r="B19" s="963" t="s">
        <v>591</v>
      </c>
      <c r="C19" s="954">
        <v>0</v>
      </c>
    </row>
    <row r="20" spans="2:3" x14ac:dyDescent="0.35">
      <c r="B20" s="963" t="s">
        <v>592</v>
      </c>
      <c r="C20" s="954">
        <v>0</v>
      </c>
    </row>
    <row r="21" spans="2:3" x14ac:dyDescent="0.35">
      <c r="B21" s="963" t="s">
        <v>593</v>
      </c>
      <c r="C21" s="954">
        <v>0</v>
      </c>
    </row>
    <row r="22" spans="2:3" x14ac:dyDescent="0.35">
      <c r="B22" s="963" t="s">
        <v>594</v>
      </c>
      <c r="C22" s="954">
        <v>0</v>
      </c>
    </row>
    <row r="23" spans="2:3" x14ac:dyDescent="0.35">
      <c r="B23" s="964" t="s">
        <v>595</v>
      </c>
      <c r="C23" s="965">
        <v>0</v>
      </c>
    </row>
    <row r="24" spans="2:3" x14ac:dyDescent="0.35">
      <c r="B24" s="966" t="s">
        <v>596</v>
      </c>
      <c r="C24" s="957">
        <f>+C17-C18-C19-C20-C21-C22-C23</f>
        <v>0</v>
      </c>
    </row>
    <row r="25" spans="2:3" x14ac:dyDescent="0.35">
      <c r="B25" s="967" t="s">
        <v>597</v>
      </c>
      <c r="C25" s="968">
        <v>0</v>
      </c>
    </row>
    <row r="26" spans="2:3" ht="15" thickBot="1" x14ac:dyDescent="0.4">
      <c r="B26" s="963" t="s">
        <v>598</v>
      </c>
      <c r="C26" s="969">
        <f>C25*2000</f>
        <v>0</v>
      </c>
    </row>
    <row r="27" spans="2:3" ht="15" thickBot="1" x14ac:dyDescent="0.4">
      <c r="B27" s="1944" t="s">
        <v>599</v>
      </c>
      <c r="C27" s="1945">
        <f>C24-C26</f>
        <v>0</v>
      </c>
    </row>
    <row r="28" spans="2:3" ht="15" thickBot="1" x14ac:dyDescent="0.4">
      <c r="C28" s="961"/>
    </row>
    <row r="29" spans="2:3" ht="15" thickBot="1" x14ac:dyDescent="0.4">
      <c r="B29" s="1509" t="s">
        <v>600</v>
      </c>
      <c r="C29" s="1513" t="s">
        <v>601</v>
      </c>
    </row>
    <row r="30" spans="2:3" x14ac:dyDescent="0.35">
      <c r="B30" s="950" t="s">
        <v>602</v>
      </c>
      <c r="C30" s="951">
        <v>0</v>
      </c>
    </row>
    <row r="31" spans="2:3" x14ac:dyDescent="0.35">
      <c r="B31" s="970" t="s">
        <v>603</v>
      </c>
      <c r="C31" s="957">
        <f>+C30</f>
        <v>0</v>
      </c>
    </row>
    <row r="32" spans="2:3" x14ac:dyDescent="0.35">
      <c r="B32" s="971" t="s">
        <v>604</v>
      </c>
      <c r="C32" s="954">
        <v>0</v>
      </c>
    </row>
    <row r="33" spans="2:3" x14ac:dyDescent="0.35">
      <c r="B33" s="971" t="s">
        <v>605</v>
      </c>
      <c r="C33" s="954">
        <v>0</v>
      </c>
    </row>
    <row r="34" spans="2:3" x14ac:dyDescent="0.35">
      <c r="B34" s="971" t="s">
        <v>606</v>
      </c>
      <c r="C34" s="954">
        <v>0</v>
      </c>
    </row>
    <row r="35" spans="2:3" x14ac:dyDescent="0.35">
      <c r="B35" s="971" t="s">
        <v>607</v>
      </c>
      <c r="C35" s="954">
        <v>0</v>
      </c>
    </row>
    <row r="36" spans="2:3" x14ac:dyDescent="0.35">
      <c r="B36" s="971" t="s">
        <v>608</v>
      </c>
      <c r="C36" s="954">
        <v>0</v>
      </c>
    </row>
    <row r="37" spans="2:3" x14ac:dyDescent="0.35">
      <c r="B37" s="971" t="s">
        <v>1128</v>
      </c>
      <c r="C37" s="954">
        <v>0</v>
      </c>
    </row>
    <row r="38" spans="2:3" x14ac:dyDescent="0.35">
      <c r="B38" s="971" t="s">
        <v>1129</v>
      </c>
      <c r="C38" s="954">
        <v>0</v>
      </c>
    </row>
    <row r="39" spans="2:3" x14ac:dyDescent="0.35">
      <c r="B39" s="971" t="s">
        <v>609</v>
      </c>
      <c r="C39" s="954">
        <v>0</v>
      </c>
    </row>
    <row r="40" spans="2:3" x14ac:dyDescent="0.35">
      <c r="B40" s="972" t="s">
        <v>610</v>
      </c>
      <c r="C40" s="954">
        <v>0</v>
      </c>
    </row>
    <row r="41" spans="2:3" x14ac:dyDescent="0.35">
      <c r="B41" s="971" t="s">
        <v>611</v>
      </c>
      <c r="C41" s="954">
        <v>0</v>
      </c>
    </row>
    <row r="42" spans="2:3" ht="15" thickBot="1" x14ac:dyDescent="0.4">
      <c r="B42" s="973" t="s">
        <v>612</v>
      </c>
      <c r="C42" s="957">
        <f>SUM(C32:C39)-C40-C41</f>
        <v>0</v>
      </c>
    </row>
    <row r="43" spans="2:3" ht="15" thickBot="1" x14ac:dyDescent="0.4">
      <c r="B43" s="1942" t="s">
        <v>613</v>
      </c>
      <c r="C43" s="1973">
        <f>IF(OR(C31=0,C42=0),0,C31/C42)</f>
        <v>0</v>
      </c>
    </row>
  </sheetData>
  <conditionalFormatting sqref="B17:C27">
    <cfRule type="expression" dxfId="59" priority="1">
      <formula>$B$2="DES-DDD"</formula>
    </cfRule>
  </conditionalFormatting>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6869E-5476-497B-9857-405C2226CCED}">
  <sheetPr>
    <pageSetUpPr fitToPage="1"/>
  </sheetPr>
  <dimension ref="A1:E74"/>
  <sheetViews>
    <sheetView showGridLines="0" zoomScaleNormal="100" zoomScaleSheetLayoutView="90" workbookViewId="0">
      <selection activeCell="C74" sqref="C74"/>
    </sheetView>
  </sheetViews>
  <sheetFormatPr defaultColWidth="9.1796875" defaultRowHeight="14.5" x14ac:dyDescent="0.35"/>
  <cols>
    <col min="1" max="1" width="16.7265625" style="21" customWidth="1"/>
    <col min="2" max="2" width="75.7265625" style="21" customWidth="1"/>
    <col min="3" max="3" width="15.7265625" style="939" customWidth="1"/>
    <col min="4" max="4" width="14.453125" style="21" bestFit="1" customWidth="1"/>
    <col min="5" max="5" width="63.54296875" style="21" customWidth="1"/>
    <col min="6" max="16384" width="9.1796875" style="21"/>
  </cols>
  <sheetData>
    <row r="1" spans="1:5" ht="15" thickBot="1" x14ac:dyDescent="0.4">
      <c r="A1" s="1514" t="s">
        <v>614</v>
      </c>
      <c r="B1" s="1441"/>
      <c r="C1" s="1515"/>
    </row>
    <row r="2" spans="1:5" x14ac:dyDescent="0.35">
      <c r="A2" s="938" t="s">
        <v>45</v>
      </c>
      <c r="B2" s="861" t="str">
        <f>'Instruction &amp; Audit Report B '!C20</f>
        <v>Select Contractor Name</v>
      </c>
    </row>
    <row r="3" spans="1:5" x14ac:dyDescent="0.35">
      <c r="A3" s="39" t="s">
        <v>79</v>
      </c>
      <c r="B3" s="862" t="str">
        <f>'Instruction &amp; Audit Report B '!C21</f>
        <v>mm/dd/yyyy</v>
      </c>
    </row>
    <row r="4" spans="1:5" x14ac:dyDescent="0.35">
      <c r="C4" s="21"/>
    </row>
    <row r="5" spans="1:5" x14ac:dyDescent="0.35">
      <c r="A5" s="920" t="s">
        <v>615</v>
      </c>
      <c r="C5" s="21"/>
    </row>
    <row r="6" spans="1:5" x14ac:dyDescent="0.35">
      <c r="A6" s="11"/>
    </row>
    <row r="7" spans="1:5" ht="15" thickBot="1" x14ac:dyDescent="0.4">
      <c r="A7"/>
      <c r="B7"/>
      <c r="C7"/>
      <c r="D7" s="848" t="s">
        <v>616</v>
      </c>
    </row>
    <row r="8" spans="1:5" ht="15" thickBot="1" x14ac:dyDescent="0.4">
      <c r="A8" s="1516" t="s">
        <v>617</v>
      </c>
      <c r="B8" s="1517"/>
      <c r="C8" s="1518"/>
      <c r="D8" s="1430" t="s">
        <v>56</v>
      </c>
    </row>
    <row r="9" spans="1:5" ht="15" thickBot="1" x14ac:dyDescent="0.4">
      <c r="A9" s="1683" t="s">
        <v>521</v>
      </c>
      <c r="B9" s="1684" t="s">
        <v>549</v>
      </c>
      <c r="C9" s="1685" t="s">
        <v>457</v>
      </c>
      <c r="D9" s="1431" t="s">
        <v>618</v>
      </c>
    </row>
    <row r="10" spans="1:5" x14ac:dyDescent="0.35">
      <c r="A10" s="2070" t="s">
        <v>619</v>
      </c>
      <c r="B10" s="1355" t="s">
        <v>620</v>
      </c>
      <c r="C10" s="1356">
        <v>0</v>
      </c>
      <c r="D10" s="2071"/>
    </row>
    <row r="11" spans="1:5" x14ac:dyDescent="0.35">
      <c r="A11" s="2070"/>
      <c r="B11" s="1355"/>
      <c r="C11" s="1356">
        <v>0</v>
      </c>
      <c r="D11" s="2071"/>
    </row>
    <row r="12" spans="1:5" x14ac:dyDescent="0.35">
      <c r="A12" s="2070"/>
      <c r="B12" s="1355"/>
      <c r="C12" s="1356">
        <v>0</v>
      </c>
      <c r="D12" s="2071"/>
    </row>
    <row r="13" spans="1:5" x14ac:dyDescent="0.35">
      <c r="A13" s="2070"/>
      <c r="B13" s="1355"/>
      <c r="C13" s="1356">
        <v>0</v>
      </c>
      <c r="D13" s="2071"/>
    </row>
    <row r="14" spans="1:5" x14ac:dyDescent="0.35">
      <c r="A14" s="2070"/>
      <c r="B14" s="1355"/>
      <c r="C14" s="1356">
        <v>0</v>
      </c>
      <c r="D14" s="2071"/>
    </row>
    <row r="15" spans="1:5" ht="15" thickBot="1" x14ac:dyDescent="0.4">
      <c r="A15" s="2070"/>
      <c r="B15" s="1355"/>
      <c r="C15" s="1356">
        <v>0</v>
      </c>
      <c r="D15" s="2072"/>
    </row>
    <row r="16" spans="1:5" ht="15" thickBot="1" x14ac:dyDescent="0.4">
      <c r="A16" s="2254" t="s">
        <v>468</v>
      </c>
      <c r="B16" s="2255"/>
      <c r="C16" s="1354">
        <f>+SUM(C10:C15)</f>
        <v>0</v>
      </c>
      <c r="D16" s="921" cm="1">
        <f t="array" ref="D16">_xlfn.XLOOKUP($B$3,'FS-Balance Sheet 3.04'!$C$5:$F$5,_xlfn.XLOOKUP("10115-01",'FS-Balance Sheet 3.04'!$A$9:$A$100,'FS-Balance Sheet 3.04'!$C$9:$F$100),0)</f>
        <v>0</v>
      </c>
      <c r="E16" s="2008" t="str">
        <f>IF(OR(C16=0,D16=0),"",IF(ROUND(C16,2)&lt;&gt;ROUND(D16,2),"Total Amount does not match the Balance Sheet. Correction Required",""))</f>
        <v/>
      </c>
    </row>
    <row r="17" spans="1:4" ht="15" thickBot="1" x14ac:dyDescent="0.4">
      <c r="A17" s="1516" t="s">
        <v>621</v>
      </c>
      <c r="B17" s="1517"/>
      <c r="C17" s="1518"/>
      <c r="D17" s="940"/>
    </row>
    <row r="18" spans="1:4" ht="15" thickBot="1" x14ac:dyDescent="0.4">
      <c r="A18" s="1683" t="s">
        <v>521</v>
      </c>
      <c r="B18" s="1684" t="s">
        <v>549</v>
      </c>
      <c r="C18" s="1685" t="s">
        <v>457</v>
      </c>
      <c r="D18" s="941"/>
    </row>
    <row r="19" spans="1:4" x14ac:dyDescent="0.35">
      <c r="A19" s="2070" t="s">
        <v>622</v>
      </c>
      <c r="B19" s="1355" t="s">
        <v>623</v>
      </c>
      <c r="C19" s="1356">
        <v>0</v>
      </c>
      <c r="D19" s="941"/>
    </row>
    <row r="20" spans="1:4" x14ac:dyDescent="0.35">
      <c r="A20" s="2070" t="s">
        <v>624</v>
      </c>
      <c r="B20" s="1355" t="s">
        <v>623</v>
      </c>
      <c r="C20" s="1356">
        <v>0</v>
      </c>
      <c r="D20" s="941"/>
    </row>
    <row r="21" spans="1:4" x14ac:dyDescent="0.35">
      <c r="A21" s="1358" t="s">
        <v>625</v>
      </c>
      <c r="B21" s="1359" t="s">
        <v>623</v>
      </c>
      <c r="C21" s="1356">
        <v>0</v>
      </c>
      <c r="D21" s="941"/>
    </row>
    <row r="22" spans="1:4" x14ac:dyDescent="0.35">
      <c r="A22" s="2070" t="s">
        <v>624</v>
      </c>
      <c r="B22" s="1355" t="s">
        <v>626</v>
      </c>
      <c r="C22" s="1356">
        <v>0</v>
      </c>
      <c r="D22" s="941"/>
    </row>
    <row r="23" spans="1:4" x14ac:dyDescent="0.35">
      <c r="A23" s="1358" t="s">
        <v>625</v>
      </c>
      <c r="B23" s="1359" t="s">
        <v>626</v>
      </c>
      <c r="C23" s="1356">
        <v>0</v>
      </c>
      <c r="D23" s="941"/>
    </row>
    <row r="24" spans="1:4" x14ac:dyDescent="0.35">
      <c r="A24" s="2070" t="s">
        <v>622</v>
      </c>
      <c r="B24" s="1355" t="s">
        <v>627</v>
      </c>
      <c r="C24" s="1356">
        <v>0</v>
      </c>
      <c r="D24" s="941"/>
    </row>
    <row r="25" spans="1:4" x14ac:dyDescent="0.35">
      <c r="A25" s="2070" t="s">
        <v>624</v>
      </c>
      <c r="B25" s="1355" t="s">
        <v>627</v>
      </c>
      <c r="C25" s="1356">
        <v>0</v>
      </c>
      <c r="D25" s="941"/>
    </row>
    <row r="26" spans="1:4" x14ac:dyDescent="0.35">
      <c r="A26" s="1358" t="s">
        <v>625</v>
      </c>
      <c r="B26" s="1359" t="s">
        <v>628</v>
      </c>
      <c r="C26" s="1356">
        <v>0</v>
      </c>
      <c r="D26" s="941"/>
    </row>
    <row r="27" spans="1:4" x14ac:dyDescent="0.35">
      <c r="A27" s="2070" t="s">
        <v>622</v>
      </c>
      <c r="B27" s="1355" t="s">
        <v>629</v>
      </c>
      <c r="C27" s="1356">
        <v>0</v>
      </c>
      <c r="D27" s="941"/>
    </row>
    <row r="28" spans="1:4" x14ac:dyDescent="0.35">
      <c r="A28" s="2070" t="s">
        <v>624</v>
      </c>
      <c r="B28" s="1355" t="s">
        <v>629</v>
      </c>
      <c r="C28" s="1356">
        <v>0</v>
      </c>
      <c r="D28" s="941"/>
    </row>
    <row r="29" spans="1:4" x14ac:dyDescent="0.35">
      <c r="A29" s="2070" t="s">
        <v>622</v>
      </c>
      <c r="B29" s="1355" t="s">
        <v>630</v>
      </c>
      <c r="C29" s="1356">
        <v>0</v>
      </c>
      <c r="D29" s="941"/>
    </row>
    <row r="30" spans="1:4" x14ac:dyDescent="0.35">
      <c r="A30" s="2070" t="s">
        <v>624</v>
      </c>
      <c r="B30" s="1355" t="s">
        <v>630</v>
      </c>
      <c r="C30" s="1356">
        <v>0</v>
      </c>
      <c r="D30" s="941"/>
    </row>
    <row r="31" spans="1:4" x14ac:dyDescent="0.35">
      <c r="A31" s="1358" t="s">
        <v>625</v>
      </c>
      <c r="B31" s="1359" t="s">
        <v>630</v>
      </c>
      <c r="C31" s="1356">
        <v>0</v>
      </c>
      <c r="D31" s="941"/>
    </row>
    <row r="32" spans="1:4" x14ac:dyDescent="0.35">
      <c r="A32" s="2070" t="s">
        <v>622</v>
      </c>
      <c r="B32" s="1355" t="s">
        <v>631</v>
      </c>
      <c r="C32" s="1356">
        <v>0</v>
      </c>
      <c r="D32" s="941"/>
    </row>
    <row r="33" spans="1:5" x14ac:dyDescent="0.35">
      <c r="A33" s="2070" t="s">
        <v>624</v>
      </c>
      <c r="B33" s="1355" t="s">
        <v>631</v>
      </c>
      <c r="C33" s="1356">
        <v>0</v>
      </c>
      <c r="D33" s="941"/>
    </row>
    <row r="34" spans="1:5" x14ac:dyDescent="0.35">
      <c r="A34" s="2070" t="s">
        <v>622</v>
      </c>
      <c r="B34" s="1355" t="s">
        <v>632</v>
      </c>
      <c r="C34" s="1356">
        <v>0</v>
      </c>
      <c r="D34" s="941"/>
    </row>
    <row r="35" spans="1:5" x14ac:dyDescent="0.35">
      <c r="A35" s="2070" t="s">
        <v>624</v>
      </c>
      <c r="B35" s="1355" t="s">
        <v>632</v>
      </c>
      <c r="C35" s="1356">
        <v>0</v>
      </c>
      <c r="D35" s="941"/>
    </row>
    <row r="36" spans="1:5" x14ac:dyDescent="0.35">
      <c r="A36" s="1358" t="s">
        <v>625</v>
      </c>
      <c r="B36" s="1359" t="s">
        <v>633</v>
      </c>
      <c r="C36" s="1356">
        <v>0</v>
      </c>
      <c r="D36" s="941"/>
    </row>
    <row r="37" spans="1:5" x14ac:dyDescent="0.35">
      <c r="A37" s="2070"/>
      <c r="B37" s="1355"/>
      <c r="C37" s="1356">
        <v>0</v>
      </c>
      <c r="D37" s="941"/>
    </row>
    <row r="38" spans="1:5" ht="15" thickBot="1" x14ac:dyDescent="0.4">
      <c r="A38" s="2070"/>
      <c r="B38" s="1355"/>
      <c r="C38" s="1356"/>
      <c r="D38" s="942"/>
    </row>
    <row r="39" spans="1:5" ht="15" thickBot="1" x14ac:dyDescent="0.4">
      <c r="A39" s="2256" t="s">
        <v>468</v>
      </c>
      <c r="B39" s="2257"/>
      <c r="C39" s="1361">
        <f>+SUM(C19:C38)</f>
        <v>0</v>
      </c>
      <c r="D39" s="921" cm="1">
        <f t="array" ref="D39">_xlfn.XLOOKUP($B$3,'FS-Balance Sheet 3.04'!$C$5:$F$5,_xlfn.XLOOKUP("10125-01",'FS-Balance Sheet 3.04'!$A$9:$A$100,'FS-Balance Sheet 3.04'!$C$9:$F$100),0)</f>
        <v>0</v>
      </c>
      <c r="E39" s="2008" t="str">
        <f>IF(OR(C39=0,D39=0),"",IF(ROUND(C39,2)&lt;&gt;ROUND(D39,2),"Total Amount does not match the Balance Sheet. Correction Required",""))</f>
        <v/>
      </c>
    </row>
    <row r="40" spans="1:5" ht="15" thickBot="1" x14ac:dyDescent="0.4">
      <c r="A40" s="1516" t="s">
        <v>634</v>
      </c>
      <c r="B40" s="1517"/>
      <c r="C40" s="1519"/>
      <c r="D40" s="1360"/>
    </row>
    <row r="41" spans="1:5" ht="15" thickBot="1" x14ac:dyDescent="0.4">
      <c r="A41" s="1683" t="s">
        <v>521</v>
      </c>
      <c r="B41" s="1684" t="s">
        <v>512</v>
      </c>
      <c r="C41" s="1685" t="s">
        <v>457</v>
      </c>
      <c r="D41" s="1362"/>
    </row>
    <row r="42" spans="1:5" x14ac:dyDescent="0.35">
      <c r="A42" s="2070"/>
      <c r="B42" s="1365"/>
      <c r="C42" s="1363">
        <v>0</v>
      </c>
      <c r="D42" s="941"/>
    </row>
    <row r="43" spans="1:5" x14ac:dyDescent="0.35">
      <c r="A43" s="2070"/>
      <c r="B43" s="1365"/>
      <c r="C43" s="1353">
        <v>0</v>
      </c>
      <c r="D43" s="941"/>
    </row>
    <row r="44" spans="1:5" x14ac:dyDescent="0.35">
      <c r="A44" s="2070"/>
      <c r="B44" s="1365"/>
      <c r="C44" s="1353">
        <v>0</v>
      </c>
      <c r="D44" s="941"/>
    </row>
    <row r="45" spans="1:5" x14ac:dyDescent="0.35">
      <c r="A45" s="2070"/>
      <c r="B45" s="1365"/>
      <c r="C45" s="1353">
        <v>0</v>
      </c>
      <c r="D45" s="941"/>
    </row>
    <row r="46" spans="1:5" x14ac:dyDescent="0.35">
      <c r="A46" s="2070"/>
      <c r="B46" s="1365"/>
      <c r="C46" s="1353">
        <v>0</v>
      </c>
      <c r="D46" s="941"/>
    </row>
    <row r="47" spans="1:5" x14ac:dyDescent="0.35">
      <c r="A47" s="2070"/>
      <c r="B47" s="1365"/>
      <c r="C47" s="1353">
        <v>0</v>
      </c>
      <c r="D47" s="941"/>
    </row>
    <row r="48" spans="1:5" x14ac:dyDescent="0.35">
      <c r="A48" s="2070"/>
      <c r="B48" s="1365"/>
      <c r="C48" s="1353">
        <v>0</v>
      </c>
      <c r="D48" s="941"/>
    </row>
    <row r="49" spans="1:5" ht="15" thickBot="1" x14ac:dyDescent="0.4">
      <c r="A49" s="2070"/>
      <c r="B49" s="1366"/>
      <c r="C49" s="1353">
        <v>0</v>
      </c>
      <c r="D49" s="942"/>
    </row>
    <row r="50" spans="1:5" ht="15" thickBot="1" x14ac:dyDescent="0.4">
      <c r="A50" s="2256" t="s">
        <v>468</v>
      </c>
      <c r="B50" s="2258"/>
      <c r="C50" s="1411">
        <f>+SUM(C42:C49)</f>
        <v>0</v>
      </c>
      <c r="D50" s="921" cm="1">
        <f t="array" ref="D50">_xlfn.XLOOKUP($B$3,'FS-Balance Sheet 3.04'!$C$5:$F$5,_xlfn.XLOOKUP("20115-01",'FS-Balance Sheet 3.04'!$A$9:$A$100,'FS-Balance Sheet 3.04'!$C$9:$F$100),0)</f>
        <v>0</v>
      </c>
      <c r="E50" s="2008" t="str">
        <f>IF(OR(C50=0,D50=0),"",IF(ROUND(C50,2)&lt;&gt;ROUND(D50,2),"Total Amount does not match the Balance Sheet. Correction Required",""))</f>
        <v/>
      </c>
    </row>
    <row r="51" spans="1:5" ht="15" thickBot="1" x14ac:dyDescent="0.4">
      <c r="A51" s="1516" t="s">
        <v>635</v>
      </c>
      <c r="B51" s="1517"/>
      <c r="C51" s="1519"/>
      <c r="D51" s="1360"/>
    </row>
    <row r="52" spans="1:5" ht="15" thickBot="1" x14ac:dyDescent="0.4">
      <c r="A52" s="1683" t="s">
        <v>521</v>
      </c>
      <c r="B52" s="1686" t="s">
        <v>549</v>
      </c>
      <c r="C52" s="1685" t="s">
        <v>457</v>
      </c>
      <c r="D52" s="941"/>
    </row>
    <row r="53" spans="1:5" x14ac:dyDescent="0.35">
      <c r="A53" s="2073" t="s">
        <v>622</v>
      </c>
      <c r="B53" s="92" t="s">
        <v>623</v>
      </c>
      <c r="C53" s="1356">
        <v>0</v>
      </c>
      <c r="D53" s="941"/>
    </row>
    <row r="54" spans="1:5" x14ac:dyDescent="0.35">
      <c r="A54" s="2070" t="s">
        <v>624</v>
      </c>
      <c r="B54" s="92" t="s">
        <v>623</v>
      </c>
      <c r="C54" s="1356">
        <v>0</v>
      </c>
      <c r="D54" s="941"/>
    </row>
    <row r="55" spans="1:5" x14ac:dyDescent="0.35">
      <c r="A55" s="1358" t="s">
        <v>625</v>
      </c>
      <c r="B55" s="1367" t="s">
        <v>623</v>
      </c>
      <c r="C55" s="1356">
        <v>0</v>
      </c>
      <c r="D55" s="941"/>
    </row>
    <row r="56" spans="1:5" x14ac:dyDescent="0.35">
      <c r="A56" s="2070" t="s">
        <v>624</v>
      </c>
      <c r="B56" s="92" t="s">
        <v>626</v>
      </c>
      <c r="C56" s="1356">
        <v>0</v>
      </c>
      <c r="D56" s="941"/>
    </row>
    <row r="57" spans="1:5" x14ac:dyDescent="0.35">
      <c r="A57" s="1358" t="s">
        <v>625</v>
      </c>
      <c r="B57" s="1367" t="s">
        <v>626</v>
      </c>
      <c r="C57" s="1356">
        <v>0</v>
      </c>
      <c r="D57" s="941"/>
    </row>
    <row r="58" spans="1:5" x14ac:dyDescent="0.35">
      <c r="A58" s="2070" t="s">
        <v>622</v>
      </c>
      <c r="B58" s="92" t="s">
        <v>627</v>
      </c>
      <c r="C58" s="1356">
        <v>0</v>
      </c>
      <c r="D58" s="941"/>
    </row>
    <row r="59" spans="1:5" x14ac:dyDescent="0.35">
      <c r="A59" s="2070" t="s">
        <v>624</v>
      </c>
      <c r="B59" s="92" t="s">
        <v>627</v>
      </c>
      <c r="C59" s="1356">
        <v>0</v>
      </c>
      <c r="D59" s="941"/>
    </row>
    <row r="60" spans="1:5" x14ac:dyDescent="0.35">
      <c r="A60" s="1358" t="s">
        <v>625</v>
      </c>
      <c r="B60" s="1367" t="s">
        <v>628</v>
      </c>
      <c r="C60" s="1356">
        <v>0</v>
      </c>
      <c r="D60" s="941"/>
    </row>
    <row r="61" spans="1:5" x14ac:dyDescent="0.35">
      <c r="A61" s="2070" t="s">
        <v>622</v>
      </c>
      <c r="B61" s="92" t="s">
        <v>629</v>
      </c>
      <c r="C61" s="1356">
        <v>0</v>
      </c>
      <c r="D61" s="941"/>
    </row>
    <row r="62" spans="1:5" x14ac:dyDescent="0.35">
      <c r="A62" s="2070" t="s">
        <v>624</v>
      </c>
      <c r="B62" s="92" t="s">
        <v>629</v>
      </c>
      <c r="C62" s="1356">
        <v>0</v>
      </c>
      <c r="D62" s="941"/>
    </row>
    <row r="63" spans="1:5" x14ac:dyDescent="0.35">
      <c r="A63" s="2070" t="s">
        <v>622</v>
      </c>
      <c r="B63" s="92" t="s">
        <v>630</v>
      </c>
      <c r="C63" s="1356">
        <v>0</v>
      </c>
      <c r="D63" s="941"/>
    </row>
    <row r="64" spans="1:5" x14ac:dyDescent="0.35">
      <c r="A64" s="2070" t="s">
        <v>624</v>
      </c>
      <c r="B64" s="92" t="s">
        <v>630</v>
      </c>
      <c r="C64" s="1356">
        <v>0</v>
      </c>
      <c r="D64" s="941"/>
    </row>
    <row r="65" spans="1:5" x14ac:dyDescent="0.35">
      <c r="A65" s="1358" t="s">
        <v>625</v>
      </c>
      <c r="B65" s="1367" t="s">
        <v>630</v>
      </c>
      <c r="C65" s="1356">
        <v>0</v>
      </c>
      <c r="D65" s="941"/>
    </row>
    <row r="66" spans="1:5" x14ac:dyDescent="0.35">
      <c r="A66" s="2070" t="s">
        <v>622</v>
      </c>
      <c r="B66" s="92" t="s">
        <v>631</v>
      </c>
      <c r="C66" s="1356">
        <v>0</v>
      </c>
      <c r="D66" s="941"/>
    </row>
    <row r="67" spans="1:5" x14ac:dyDescent="0.35">
      <c r="A67" s="2070" t="s">
        <v>624</v>
      </c>
      <c r="B67" s="92" t="s">
        <v>631</v>
      </c>
      <c r="C67" s="1356">
        <v>0</v>
      </c>
      <c r="D67" s="941"/>
    </row>
    <row r="68" spans="1:5" x14ac:dyDescent="0.35">
      <c r="A68" s="2070" t="s">
        <v>622</v>
      </c>
      <c r="B68" s="92" t="s">
        <v>632</v>
      </c>
      <c r="C68" s="1356">
        <v>0</v>
      </c>
      <c r="D68" s="941"/>
    </row>
    <row r="69" spans="1:5" x14ac:dyDescent="0.35">
      <c r="A69" s="2070" t="s">
        <v>624</v>
      </c>
      <c r="B69" s="92" t="s">
        <v>632</v>
      </c>
      <c r="C69" s="1356">
        <v>0</v>
      </c>
      <c r="D69" s="941"/>
    </row>
    <row r="70" spans="1:5" x14ac:dyDescent="0.35">
      <c r="A70" s="1358" t="s">
        <v>625</v>
      </c>
      <c r="B70" s="1367" t="s">
        <v>633</v>
      </c>
      <c r="C70" s="1356">
        <v>0</v>
      </c>
      <c r="D70" s="941"/>
    </row>
    <row r="71" spans="1:5" x14ac:dyDescent="0.35">
      <c r="A71" s="1364"/>
      <c r="B71" s="1357"/>
      <c r="C71" s="1353">
        <v>0</v>
      </c>
      <c r="D71" s="941"/>
    </row>
    <row r="72" spans="1:5" ht="15" thickBot="1" x14ac:dyDescent="0.4">
      <c r="A72" s="1368"/>
      <c r="B72" s="1357"/>
      <c r="C72" s="1353">
        <v>0</v>
      </c>
      <c r="D72" s="941"/>
    </row>
    <row r="73" spans="1:5" ht="15" thickBot="1" x14ac:dyDescent="0.4">
      <c r="A73" s="2254" t="s">
        <v>468</v>
      </c>
      <c r="B73" s="2255"/>
      <c r="C73" s="1354">
        <f>+SUM(C53:C72)</f>
        <v>0</v>
      </c>
      <c r="D73" s="921" cm="1">
        <f t="array" ref="D73">_xlfn.XLOOKUP($B$3,'FS-Balance Sheet 3.04'!$C$5:$F$5,_xlfn.XLOOKUP("20125-01",'FS-Balance Sheet 3.04'!$A$9:$A$100,'FS-Balance Sheet 3.04'!$C$9:$F$100),0)</f>
        <v>0</v>
      </c>
      <c r="E73" s="2008" t="str">
        <f>IF(OR(C73=0,D73=0),"",IF(ROUND(C73,2)&lt;&gt;ROUND(D73,2),"Total Amount does not match the Balance Sheet. Correction Required",""))</f>
        <v/>
      </c>
    </row>
    <row r="74" spans="1:5" ht="15" thickBot="1" x14ac:dyDescent="0.4">
      <c r="A74" s="2254" t="s">
        <v>470</v>
      </c>
      <c r="B74" s="2255"/>
      <c r="C74" s="1354">
        <f>C16+C39+C50+C73</f>
        <v>0</v>
      </c>
      <c r="D74" s="935">
        <f>D16+D39+D50+D73</f>
        <v>0</v>
      </c>
      <c r="E74" s="2008"/>
    </row>
  </sheetData>
  <mergeCells count="5">
    <mergeCell ref="A74:B74"/>
    <mergeCell ref="A16:B16"/>
    <mergeCell ref="A39:B39"/>
    <mergeCell ref="A50:B50"/>
    <mergeCell ref="A73:B73"/>
  </mergeCells>
  <conditionalFormatting sqref="A42:B49">
    <cfRule type="expression" dxfId="58" priority="3">
      <formula>AND($A42="",$B42&lt;&gt;"")</formula>
    </cfRule>
    <cfRule type="expression" dxfId="57" priority="4">
      <formula>AND($A42&lt;&gt;"",$B42="")</formula>
    </cfRule>
  </conditionalFormatting>
  <conditionalFormatting sqref="A10:C15">
    <cfRule type="expression" dxfId="56" priority="8">
      <formula>AND($A10="",$B10&lt;&gt;"")</formula>
    </cfRule>
    <cfRule type="expression" dxfId="55" priority="9">
      <formula>AND($A10&lt;&gt;"",$B10="")</formula>
    </cfRule>
  </conditionalFormatting>
  <conditionalFormatting sqref="A19:C38">
    <cfRule type="expression" dxfId="54" priority="5">
      <formula>AND($A19="",$B19&lt;&gt;"")</formula>
    </cfRule>
    <cfRule type="expression" dxfId="53" priority="6">
      <formula>AND($A19&lt;&gt;"",$B19="")</formula>
    </cfRule>
  </conditionalFormatting>
  <conditionalFormatting sqref="A53:C72">
    <cfRule type="expression" dxfId="52" priority="1">
      <formula>AND($A53="",$B53&lt;&gt;"")</formula>
    </cfRule>
    <cfRule type="expression" dxfId="51" priority="2">
      <formula>AND($A53&lt;&gt;"",$B53="")</formula>
    </cfRule>
  </conditionalFormatting>
  <conditionalFormatting sqref="E16">
    <cfRule type="containsText" dxfId="50" priority="13" operator="containsText" text="correction">
      <formula>NOT(ISERROR(SEARCH("correction",E16)))</formula>
    </cfRule>
  </conditionalFormatting>
  <conditionalFormatting sqref="E39">
    <cfRule type="containsText" dxfId="49" priority="12" operator="containsText" text="correction">
      <formula>NOT(ISERROR(SEARCH("correction",E39)))</formula>
    </cfRule>
  </conditionalFormatting>
  <conditionalFormatting sqref="E50">
    <cfRule type="containsText" dxfId="48" priority="11" operator="containsText" text="correction">
      <formula>NOT(ISERROR(SEARCH("correction",E50)))</formula>
    </cfRule>
  </conditionalFormatting>
  <conditionalFormatting sqref="E73:E74">
    <cfRule type="containsText" dxfId="47" priority="10" operator="containsText" text="correction">
      <formula>NOT(ISERROR(SEARCH("correction",E73)))</formula>
    </cfRule>
  </conditionalFormatting>
  <pageMargins left="0.75" right="0.75" top="1" bottom="1" header="0.5" footer="0.5"/>
  <pageSetup scale="79" orientation="portrait" r:id="rId1"/>
  <headerFooter alignWithMargins="0">
    <oddFooter>&amp;L&amp;8
&amp;F&amp;A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78A5C-A86C-49E6-B0DF-F8CD0A848D23}">
  <sheetPr syncVertical="1" syncRef="A1" transitionEvaluation="1">
    <pageSetUpPr fitToPage="1"/>
  </sheetPr>
  <dimension ref="A1:F45"/>
  <sheetViews>
    <sheetView showGridLines="0" zoomScaleNormal="100" zoomScaleSheetLayoutView="75" workbookViewId="0">
      <selection activeCell="C24" sqref="C24"/>
    </sheetView>
  </sheetViews>
  <sheetFormatPr defaultColWidth="12.54296875" defaultRowHeight="14.5" x14ac:dyDescent="0.35"/>
  <cols>
    <col min="1" max="2" width="17.7265625" style="400" customWidth="1"/>
    <col min="3" max="3" width="75.7265625" style="400" customWidth="1"/>
    <col min="4" max="4" width="15.7265625" style="721" customWidth="1"/>
    <col min="5" max="5" width="14.453125" style="400" bestFit="1" customWidth="1"/>
    <col min="6" max="6" width="63.54296875" style="400" customWidth="1"/>
    <col min="7" max="16384" width="12.54296875" style="400"/>
  </cols>
  <sheetData>
    <row r="1" spans="1:5" ht="15" thickBot="1" x14ac:dyDescent="0.4">
      <c r="A1" s="1514" t="s">
        <v>636</v>
      </c>
      <c r="B1" s="1446"/>
      <c r="C1" s="1446"/>
      <c r="D1" s="2074"/>
    </row>
    <row r="2" spans="1:5" x14ac:dyDescent="0.35">
      <c r="A2" s="597" t="s">
        <v>45</v>
      </c>
      <c r="B2" s="861" t="str">
        <f>'Instruction &amp; Audit Report B '!C20</f>
        <v>Select Contractor Name</v>
      </c>
    </row>
    <row r="3" spans="1:5" x14ac:dyDescent="0.35">
      <c r="A3" s="597" t="s">
        <v>79</v>
      </c>
      <c r="B3" s="862" t="str">
        <f>'Instruction &amp; Audit Report B '!C21</f>
        <v>mm/dd/yyyy</v>
      </c>
    </row>
    <row r="4" spans="1:5" s="21" customFormat="1" x14ac:dyDescent="0.35"/>
    <row r="5" spans="1:5" s="21" customFormat="1" x14ac:dyDescent="0.35">
      <c r="A5" s="920" t="s">
        <v>615</v>
      </c>
      <c r="B5" s="920"/>
    </row>
    <row r="6" spans="1:5" x14ac:dyDescent="0.35">
      <c r="A6" s="722"/>
      <c r="B6" s="722"/>
      <c r="C6" s="722"/>
    </row>
    <row r="7" spans="1:5" ht="15" thickBot="1" x14ac:dyDescent="0.4">
      <c r="A7"/>
      <c r="B7"/>
      <c r="C7"/>
      <c r="D7"/>
      <c r="E7" s="848" t="s">
        <v>616</v>
      </c>
    </row>
    <row r="8" spans="1:5" ht="15" thickBot="1" x14ac:dyDescent="0.4">
      <c r="A8" s="1520" t="s">
        <v>637</v>
      </c>
      <c r="B8" s="1521"/>
      <c r="C8" s="1521"/>
      <c r="D8" s="1522"/>
      <c r="E8" s="1430" t="s">
        <v>56</v>
      </c>
    </row>
    <row r="9" spans="1:5" ht="15" thickBot="1" x14ac:dyDescent="0.4">
      <c r="A9" s="1769" t="s">
        <v>521</v>
      </c>
      <c r="B9" s="1691" t="s">
        <v>638</v>
      </c>
      <c r="C9" s="1687" t="s">
        <v>549</v>
      </c>
      <c r="D9" s="1688" t="s">
        <v>457</v>
      </c>
      <c r="E9" s="1431" t="s">
        <v>618</v>
      </c>
    </row>
    <row r="10" spans="1:5" x14ac:dyDescent="0.35">
      <c r="A10" s="2075" t="s">
        <v>639</v>
      </c>
      <c r="B10" s="1371" t="s">
        <v>640</v>
      </c>
      <c r="C10" s="1372" t="s">
        <v>641</v>
      </c>
      <c r="D10" s="1373">
        <v>0</v>
      </c>
      <c r="E10" s="751"/>
    </row>
    <row r="11" spans="1:5" x14ac:dyDescent="0.35">
      <c r="A11" s="2076" t="s">
        <v>639</v>
      </c>
      <c r="B11" s="1374" t="s">
        <v>640</v>
      </c>
      <c r="C11" s="1375" t="s">
        <v>642</v>
      </c>
      <c r="D11" s="1376">
        <v>0</v>
      </c>
      <c r="E11" s="751"/>
    </row>
    <row r="12" spans="1:5" x14ac:dyDescent="0.35">
      <c r="A12" s="2076" t="s">
        <v>622</v>
      </c>
      <c r="B12" s="1374" t="s">
        <v>640</v>
      </c>
      <c r="C12" s="1375" t="s">
        <v>643</v>
      </c>
      <c r="D12" s="1376">
        <v>0</v>
      </c>
      <c r="E12" s="751"/>
    </row>
    <row r="13" spans="1:5" x14ac:dyDescent="0.35">
      <c r="A13" s="2076" t="s">
        <v>624</v>
      </c>
      <c r="B13" s="1374" t="s">
        <v>640</v>
      </c>
      <c r="C13" s="1375" t="s">
        <v>643</v>
      </c>
      <c r="D13" s="1376">
        <v>0</v>
      </c>
      <c r="E13" s="751"/>
    </row>
    <row r="14" spans="1:5" x14ac:dyDescent="0.35">
      <c r="A14" s="1377" t="s">
        <v>625</v>
      </c>
      <c r="B14" s="1374" t="s">
        <v>640</v>
      </c>
      <c r="C14" s="1378" t="s">
        <v>643</v>
      </c>
      <c r="D14" s="1376">
        <v>0</v>
      </c>
      <c r="E14" s="751"/>
    </row>
    <row r="15" spans="1:5" x14ac:dyDescent="0.35">
      <c r="A15" s="2076" t="s">
        <v>622</v>
      </c>
      <c r="B15" s="1374" t="s">
        <v>640</v>
      </c>
      <c r="C15" s="1375" t="s">
        <v>644</v>
      </c>
      <c r="D15" s="1376">
        <v>0</v>
      </c>
      <c r="E15" s="751"/>
    </row>
    <row r="16" spans="1:5" x14ac:dyDescent="0.35">
      <c r="A16" s="2076" t="s">
        <v>624</v>
      </c>
      <c r="B16" s="1374" t="s">
        <v>640</v>
      </c>
      <c r="C16" s="1375" t="s">
        <v>644</v>
      </c>
      <c r="D16" s="1376">
        <v>0</v>
      </c>
      <c r="E16" s="751"/>
    </row>
    <row r="17" spans="1:6" x14ac:dyDescent="0.35">
      <c r="A17" s="1377" t="s">
        <v>625</v>
      </c>
      <c r="B17" s="1374" t="s">
        <v>640</v>
      </c>
      <c r="C17" s="1378" t="s">
        <v>644</v>
      </c>
      <c r="D17" s="1376">
        <v>0</v>
      </c>
      <c r="E17" s="751"/>
    </row>
    <row r="18" spans="1:6" x14ac:dyDescent="0.35">
      <c r="A18" s="2076" t="s">
        <v>622</v>
      </c>
      <c r="B18" s="1374" t="s">
        <v>640</v>
      </c>
      <c r="C18" s="1375" t="s">
        <v>645</v>
      </c>
      <c r="D18" s="1376">
        <v>0</v>
      </c>
      <c r="E18" s="751"/>
    </row>
    <row r="19" spans="1:6" x14ac:dyDescent="0.35">
      <c r="A19" s="2076" t="s">
        <v>624</v>
      </c>
      <c r="B19" s="1374" t="s">
        <v>640</v>
      </c>
      <c r="C19" s="1375" t="s">
        <v>645</v>
      </c>
      <c r="D19" s="1376">
        <v>0</v>
      </c>
      <c r="E19" s="751"/>
    </row>
    <row r="20" spans="1:6" x14ac:dyDescent="0.35">
      <c r="A20" s="1377" t="s">
        <v>625</v>
      </c>
      <c r="B20" s="1374" t="s">
        <v>640</v>
      </c>
      <c r="C20" s="1378" t="s">
        <v>645</v>
      </c>
      <c r="D20" s="1376">
        <v>0</v>
      </c>
      <c r="E20" s="751"/>
    </row>
    <row r="21" spans="1:6" x14ac:dyDescent="0.35">
      <c r="A21" s="1377" t="s">
        <v>624</v>
      </c>
      <c r="B21" s="1374" t="s">
        <v>640</v>
      </c>
      <c r="C21" s="1378" t="s">
        <v>646</v>
      </c>
      <c r="D21" s="1376">
        <v>0</v>
      </c>
      <c r="E21" s="751"/>
    </row>
    <row r="22" spans="1:6" x14ac:dyDescent="0.35">
      <c r="A22" s="1377" t="s">
        <v>625</v>
      </c>
      <c r="B22" s="1374" t="s">
        <v>640</v>
      </c>
      <c r="C22" s="1378" t="s">
        <v>646</v>
      </c>
      <c r="D22" s="1376">
        <v>0</v>
      </c>
      <c r="E22" s="751"/>
    </row>
    <row r="23" spans="1:6" x14ac:dyDescent="0.35">
      <c r="A23" s="2076" t="s">
        <v>647</v>
      </c>
      <c r="B23" s="1374" t="s">
        <v>640</v>
      </c>
      <c r="C23" s="1375" t="s">
        <v>648</v>
      </c>
      <c r="D23" s="1376">
        <v>0</v>
      </c>
      <c r="E23" s="751"/>
    </row>
    <row r="24" spans="1:6" x14ac:dyDescent="0.35">
      <c r="A24" s="2076" t="s">
        <v>622</v>
      </c>
      <c r="B24" s="1374" t="s">
        <v>640</v>
      </c>
      <c r="C24" s="1375" t="s">
        <v>648</v>
      </c>
      <c r="D24" s="1376">
        <v>0</v>
      </c>
      <c r="E24" s="751"/>
    </row>
    <row r="25" spans="1:6" x14ac:dyDescent="0.35">
      <c r="A25" s="1377" t="s">
        <v>624</v>
      </c>
      <c r="B25" s="1374" t="s">
        <v>640</v>
      </c>
      <c r="C25" s="1378" t="s">
        <v>648</v>
      </c>
      <c r="D25" s="1376">
        <v>0</v>
      </c>
      <c r="E25" s="751"/>
    </row>
    <row r="26" spans="1:6" x14ac:dyDescent="0.35">
      <c r="A26" s="2076" t="s">
        <v>622</v>
      </c>
      <c r="B26" s="1374" t="s">
        <v>640</v>
      </c>
      <c r="C26" s="1375" t="s">
        <v>649</v>
      </c>
      <c r="D26" s="1376">
        <v>0</v>
      </c>
      <c r="E26" s="751"/>
    </row>
    <row r="27" spans="1:6" x14ac:dyDescent="0.35">
      <c r="A27" s="2076" t="s">
        <v>624</v>
      </c>
      <c r="B27" s="1374" t="s">
        <v>640</v>
      </c>
      <c r="C27" s="1375" t="s">
        <v>649</v>
      </c>
      <c r="D27" s="1376">
        <v>0</v>
      </c>
      <c r="E27" s="751"/>
    </row>
    <row r="28" spans="1:6" x14ac:dyDescent="0.35">
      <c r="A28" s="1377" t="s">
        <v>625</v>
      </c>
      <c r="B28" s="1374" t="s">
        <v>640</v>
      </c>
      <c r="C28" s="1378" t="s">
        <v>649</v>
      </c>
      <c r="D28" s="1376">
        <v>0</v>
      </c>
      <c r="E28" s="751"/>
    </row>
    <row r="29" spans="1:6" ht="13.5" customHeight="1" thickBot="1" x14ac:dyDescent="0.4">
      <c r="A29" s="2077"/>
      <c r="B29" s="1379" t="s">
        <v>640</v>
      </c>
      <c r="C29" s="1380"/>
      <c r="D29" s="1381"/>
      <c r="E29" s="758"/>
    </row>
    <row r="30" spans="1:6" ht="15" thickBot="1" x14ac:dyDescent="0.4">
      <c r="A30" s="934"/>
      <c r="B30" s="929"/>
      <c r="C30" s="929" t="s">
        <v>468</v>
      </c>
      <c r="D30" s="935">
        <f>+SUM(D10:D29)</f>
        <v>0</v>
      </c>
      <c r="E30" s="921" cm="1">
        <f t="array" ref="E30">_xlfn.XLOOKUP($B$3,'FS-Balance Sheet 3.04'!$C$5:$F$5,_xlfn.XLOOKUP("10145-01",'FS-Balance Sheet 3.04'!$A$9:$A$100,'FS-Balance Sheet 3.04'!$C$9:$F$100),0)</f>
        <v>0</v>
      </c>
      <c r="F30" s="2008" t="str">
        <f>IF(OR(D30=0,E30=0),"",IF(ROUND(D30,2)&lt;&gt;ROUND(E30,2),"Total Amount does not match the Balance Sheet. Correction Required",""))</f>
        <v/>
      </c>
    </row>
    <row r="31" spans="1:6" ht="15" thickBot="1" x14ac:dyDescent="0.4">
      <c r="A31" s="1520" t="s">
        <v>650</v>
      </c>
      <c r="B31" s="1521"/>
      <c r="C31" s="1521"/>
      <c r="D31" s="1522"/>
      <c r="E31" s="746"/>
    </row>
    <row r="32" spans="1:6" ht="15" thickBot="1" x14ac:dyDescent="0.4">
      <c r="A32" s="1769" t="s">
        <v>521</v>
      </c>
      <c r="B32" s="1691" t="s">
        <v>638</v>
      </c>
      <c r="C32" s="1687" t="s">
        <v>549</v>
      </c>
      <c r="D32" s="1688" t="s">
        <v>457</v>
      </c>
      <c r="E32" s="751"/>
    </row>
    <row r="33" spans="1:6" x14ac:dyDescent="0.35">
      <c r="A33" s="2078" t="s">
        <v>639</v>
      </c>
      <c r="B33" s="1387" t="s">
        <v>640</v>
      </c>
      <c r="C33" s="1372" t="s">
        <v>651</v>
      </c>
      <c r="D33" s="1373">
        <v>0</v>
      </c>
      <c r="E33" s="751"/>
    </row>
    <row r="34" spans="1:6" x14ac:dyDescent="0.35">
      <c r="A34" s="2078" t="s">
        <v>639</v>
      </c>
      <c r="B34" s="1371" t="s">
        <v>640</v>
      </c>
      <c r="C34" s="1382" t="s">
        <v>652</v>
      </c>
      <c r="D34" s="1373">
        <v>0</v>
      </c>
      <c r="E34" s="751"/>
    </row>
    <row r="35" spans="1:6" x14ac:dyDescent="0.35">
      <c r="A35" s="2078"/>
      <c r="B35" s="1371" t="s">
        <v>640</v>
      </c>
      <c r="C35" s="1375"/>
      <c r="D35" s="1373">
        <v>0</v>
      </c>
      <c r="E35" s="751"/>
    </row>
    <row r="36" spans="1:6" x14ac:dyDescent="0.35">
      <c r="A36" s="849"/>
      <c r="B36" s="1371" t="s">
        <v>640</v>
      </c>
      <c r="C36" s="1385"/>
      <c r="D36" s="1376">
        <v>0</v>
      </c>
      <c r="E36" s="751"/>
    </row>
    <row r="37" spans="1:6" ht="13.5" customHeight="1" thickBot="1" x14ac:dyDescent="0.4">
      <c r="A37" s="849"/>
      <c r="B37" s="1371" t="s">
        <v>640</v>
      </c>
      <c r="C37" s="1386"/>
      <c r="D37" s="1376">
        <v>0</v>
      </c>
      <c r="E37" s="758"/>
    </row>
    <row r="38" spans="1:6" ht="15" thickBot="1" x14ac:dyDescent="0.4">
      <c r="A38" s="934"/>
      <c r="B38" s="929"/>
      <c r="C38" s="929" t="s">
        <v>468</v>
      </c>
      <c r="D38" s="936">
        <f>SUM(D33:D37)</f>
        <v>0</v>
      </c>
      <c r="E38" s="921" cm="1">
        <f t="array" ref="E38">_xlfn.XLOOKUP($B$3,'FS-Balance Sheet 3.04'!$C$5:$F$5,_xlfn.XLOOKUP("10225-01",'FS-Balance Sheet 3.04'!$A$9:$A$100,'FS-Balance Sheet 3.04'!$C$9:$F$100),0)</f>
        <v>0</v>
      </c>
      <c r="F38" s="2008" t="str">
        <f>IF(OR(D38=0,E38=0),"",IF(ROUND(D38,2)&lt;&gt;ROUND(E38,2),"Total Amount does not match the Balance Sheet. Correction Required",""))</f>
        <v/>
      </c>
    </row>
    <row r="39" spans="1:6" ht="15" thickBot="1" x14ac:dyDescent="0.4">
      <c r="A39" s="1520" t="s">
        <v>653</v>
      </c>
      <c r="B39" s="1521"/>
      <c r="C39" s="1521"/>
      <c r="D39" s="1522"/>
      <c r="E39" s="746"/>
    </row>
    <row r="40" spans="1:6" ht="15" thickBot="1" x14ac:dyDescent="0.4">
      <c r="A40" s="1770" t="s">
        <v>521</v>
      </c>
      <c r="B40" s="2259" t="s">
        <v>549</v>
      </c>
      <c r="C40" s="2260"/>
      <c r="D40" s="1688" t="s">
        <v>457</v>
      </c>
      <c r="E40" s="751"/>
    </row>
    <row r="41" spans="1:6" x14ac:dyDescent="0.35">
      <c r="A41" s="2070"/>
      <c r="B41" s="1355"/>
      <c r="C41" s="1388"/>
      <c r="D41" s="1356">
        <v>0</v>
      </c>
      <c r="E41" s="751"/>
    </row>
    <row r="42" spans="1:6" ht="13.5" customHeight="1" x14ac:dyDescent="0.35">
      <c r="A42" s="2070"/>
      <c r="B42" s="1355"/>
      <c r="C42" s="1388"/>
      <c r="D42" s="1356">
        <v>0</v>
      </c>
      <c r="E42" s="751"/>
    </row>
    <row r="43" spans="1:6" ht="15" thickBot="1" x14ac:dyDescent="0.4">
      <c r="A43" s="2070"/>
      <c r="B43" s="1355"/>
      <c r="C43" s="1388"/>
      <c r="D43" s="1356">
        <v>0</v>
      </c>
      <c r="E43" s="758"/>
    </row>
    <row r="44" spans="1:6" x14ac:dyDescent="0.35">
      <c r="A44" s="930"/>
      <c r="B44" s="1369"/>
      <c r="C44" s="1391" t="s">
        <v>468</v>
      </c>
      <c r="D44" s="1389">
        <f>SUM(D41:D43)</f>
        <v>0</v>
      </c>
      <c r="E44" s="931" cm="1">
        <f t="array" ref="E44">_xlfn.XLOOKUP($B$3,'FS-Balance Sheet 3.04'!$C$5:$F$5,_xlfn.XLOOKUP("10305-20",'FS-Balance Sheet 3.04'!$A$9:$A$100,'FS-Balance Sheet 3.04'!$C$9:$F$100),0)</f>
        <v>0</v>
      </c>
      <c r="F44" s="2008" t="str">
        <f>IF(OR(D44=0,E44=0),"",IF(ROUND(D44,2)&lt;&gt;ROUND(E44,2),"Total Amount does not match the Balance Sheet. Correction Required",""))</f>
        <v/>
      </c>
    </row>
    <row r="45" spans="1:6" ht="15" thickBot="1" x14ac:dyDescent="0.4">
      <c r="A45" s="932"/>
      <c r="B45" s="1370"/>
      <c r="C45" s="1392" t="s">
        <v>470</v>
      </c>
      <c r="D45" s="1390">
        <f>+D30+D38+D44</f>
        <v>0</v>
      </c>
      <c r="E45" s="937">
        <f>+E30+E38+E44</f>
        <v>0</v>
      </c>
    </row>
  </sheetData>
  <mergeCells count="1">
    <mergeCell ref="B40:C40"/>
  </mergeCells>
  <conditionalFormatting sqref="A10:D29">
    <cfRule type="expression" dxfId="46" priority="7">
      <formula>AND($A10&lt;&gt;"",$C10="")</formula>
    </cfRule>
    <cfRule type="expression" dxfId="45" priority="8">
      <formula>AND($A10="",$C10&lt;&gt;"")</formula>
    </cfRule>
  </conditionalFormatting>
  <conditionalFormatting sqref="A33:D37">
    <cfRule type="expression" dxfId="44" priority="5">
      <formula>AND($A33&lt;&gt;"",$C33="")</formula>
    </cfRule>
    <cfRule type="expression" dxfId="43" priority="6">
      <formula>AND($A33="",$C33&lt;&gt;"")</formula>
    </cfRule>
  </conditionalFormatting>
  <conditionalFormatting sqref="A41:D43">
    <cfRule type="expression" dxfId="42" priority="1">
      <formula>AND($A41="",$B41&lt;&gt;"")</formula>
    </cfRule>
    <cfRule type="expression" dxfId="41" priority="2">
      <formula>AND($A41&lt;&gt;"",$B41="")</formula>
    </cfRule>
  </conditionalFormatting>
  <conditionalFormatting sqref="B36:B37">
    <cfRule type="expression" dxfId="40" priority="3">
      <formula>AND($A36&lt;&gt;"",$C36="")</formula>
    </cfRule>
    <cfRule type="expression" dxfId="39" priority="4">
      <formula>AND($A36="",$C36&lt;&gt;"")</formula>
    </cfRule>
  </conditionalFormatting>
  <conditionalFormatting sqref="F30">
    <cfRule type="containsText" dxfId="38" priority="11" operator="containsText" text="correction">
      <formula>NOT(ISERROR(SEARCH("correction",F30)))</formula>
    </cfRule>
  </conditionalFormatting>
  <conditionalFormatting sqref="F38">
    <cfRule type="containsText" dxfId="37" priority="10" operator="containsText" text="correction">
      <formula>NOT(ISERROR(SEARCH("correction",F38)))</formula>
    </cfRule>
  </conditionalFormatting>
  <conditionalFormatting sqref="F44">
    <cfRule type="containsText" dxfId="36" priority="9" operator="containsText" text="correction">
      <formula>NOT(ISERROR(SEARCH("correction",F44)))</formula>
    </cfRule>
  </conditionalFormatting>
  <dataValidations count="1">
    <dataValidation type="list" allowBlank="1" showInputMessage="1" showErrorMessage="1" sqref="B10:B29 B33:B37" xr:uid="{BE88214B-C9B1-4B4D-970E-3C909C8AEA16}">
      <formula1>"Select One,AHCCCS,Provider,Other"</formula1>
    </dataValidation>
  </dataValidations>
  <printOptions gridLinesSet="0"/>
  <pageMargins left="0.22" right="0.17" top="0.3" bottom="1" header="0.17" footer="0.5"/>
  <pageSetup scale="75" orientation="portrait" r:id="rId1"/>
  <headerFooter alignWithMargins="0">
    <oddFooter>&amp;L&amp;Z&amp;F&amp;A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16A00-69E8-481D-AEDF-9A9B31C4F760}">
  <sheetPr syncVertical="1" syncRef="A1" transitionEvaluation="1">
    <pageSetUpPr fitToPage="1"/>
  </sheetPr>
  <dimension ref="A1:F37"/>
  <sheetViews>
    <sheetView showGridLines="0" zoomScaleNormal="100" zoomScaleSheetLayoutView="75" workbookViewId="0">
      <selection activeCell="D37" sqref="D37"/>
    </sheetView>
  </sheetViews>
  <sheetFormatPr defaultColWidth="12.54296875" defaultRowHeight="14.5" x14ac:dyDescent="0.35"/>
  <cols>
    <col min="1" max="2" width="17.7265625" style="400" customWidth="1"/>
    <col min="3" max="3" width="75.7265625" style="400" customWidth="1"/>
    <col min="4" max="4" width="15.7265625" style="847" customWidth="1"/>
    <col min="5" max="5" width="14.81640625" style="400" bestFit="1" customWidth="1"/>
    <col min="6" max="6" width="63.54296875" style="400" customWidth="1"/>
    <col min="7" max="16384" width="12.54296875" style="400"/>
  </cols>
  <sheetData>
    <row r="1" spans="1:5" ht="15" thickBot="1" x14ac:dyDescent="0.4">
      <c r="A1" s="1514" t="s">
        <v>654</v>
      </c>
      <c r="B1" s="1446"/>
      <c r="C1" s="1446"/>
      <c r="D1" s="2079"/>
    </row>
    <row r="2" spans="1:5" x14ac:dyDescent="0.35">
      <c r="A2" s="597" t="s">
        <v>45</v>
      </c>
      <c r="B2" s="597"/>
      <c r="C2" s="861" t="str">
        <f>'Instruction &amp; Audit Report B '!C20</f>
        <v>Select Contractor Name</v>
      </c>
    </row>
    <row r="3" spans="1:5" x14ac:dyDescent="0.35">
      <c r="A3" s="597" t="s">
        <v>79</v>
      </c>
      <c r="B3" s="597"/>
      <c r="C3" s="862" t="str">
        <f>'Instruction &amp; Audit Report B '!C21</f>
        <v>mm/dd/yyyy</v>
      </c>
    </row>
    <row r="4" spans="1:5" s="21" customFormat="1" x14ac:dyDescent="0.35"/>
    <row r="5" spans="1:5" s="21" customFormat="1" x14ac:dyDescent="0.35">
      <c r="A5" s="920" t="s">
        <v>615</v>
      </c>
      <c r="B5" s="920"/>
    </row>
    <row r="6" spans="1:5" x14ac:dyDescent="0.35">
      <c r="A6" s="722"/>
      <c r="B6" s="722"/>
      <c r="C6" s="8"/>
    </row>
    <row r="7" spans="1:5" ht="15" thickBot="1" x14ac:dyDescent="0.4">
      <c r="A7"/>
      <c r="B7"/>
      <c r="C7"/>
      <c r="D7"/>
      <c r="E7" s="848" t="s">
        <v>616</v>
      </c>
    </row>
    <row r="8" spans="1:5" ht="15" thickBot="1" x14ac:dyDescent="0.4">
      <c r="A8" s="1514" t="s">
        <v>655</v>
      </c>
      <c r="B8" s="1446"/>
      <c r="C8" s="1523"/>
      <c r="D8" s="1524"/>
      <c r="E8" s="1430" t="s">
        <v>56</v>
      </c>
    </row>
    <row r="9" spans="1:5" ht="15" thickBot="1" x14ac:dyDescent="0.4">
      <c r="A9" s="1683" t="s">
        <v>521</v>
      </c>
      <c r="B9" s="1684" t="s">
        <v>656</v>
      </c>
      <c r="C9" s="1689" t="s">
        <v>549</v>
      </c>
      <c r="D9" s="1690" t="s">
        <v>457</v>
      </c>
      <c r="E9" s="1431" t="s">
        <v>618</v>
      </c>
    </row>
    <row r="10" spans="1:5" x14ac:dyDescent="0.35">
      <c r="A10" s="2075" t="s">
        <v>639</v>
      </c>
      <c r="B10" s="1371" t="s">
        <v>640</v>
      </c>
      <c r="C10" s="1372" t="s">
        <v>657</v>
      </c>
      <c r="D10" s="1394">
        <v>0</v>
      </c>
      <c r="E10" s="751"/>
    </row>
    <row r="11" spans="1:5" x14ac:dyDescent="0.35">
      <c r="A11" s="2076" t="s">
        <v>639</v>
      </c>
      <c r="B11" s="1374" t="s">
        <v>640</v>
      </c>
      <c r="C11" s="1375" t="s">
        <v>658</v>
      </c>
      <c r="D11" s="1394">
        <v>0</v>
      </c>
      <c r="E11" s="751"/>
    </row>
    <row r="12" spans="1:5" x14ac:dyDescent="0.35">
      <c r="A12" s="2076" t="s">
        <v>622</v>
      </c>
      <c r="B12" s="1374" t="s">
        <v>640</v>
      </c>
      <c r="C12" s="1375" t="s">
        <v>643</v>
      </c>
      <c r="D12" s="1394">
        <v>0</v>
      </c>
      <c r="E12" s="751"/>
    </row>
    <row r="13" spans="1:5" x14ac:dyDescent="0.35">
      <c r="A13" s="2076" t="s">
        <v>624</v>
      </c>
      <c r="B13" s="1374" t="s">
        <v>640</v>
      </c>
      <c r="C13" s="1375" t="s">
        <v>643</v>
      </c>
      <c r="D13" s="1394">
        <v>0</v>
      </c>
      <c r="E13" s="751"/>
    </row>
    <row r="14" spans="1:5" x14ac:dyDescent="0.35">
      <c r="A14" s="1377" t="s">
        <v>625</v>
      </c>
      <c r="B14" s="1374" t="s">
        <v>640</v>
      </c>
      <c r="C14" s="1378" t="s">
        <v>643</v>
      </c>
      <c r="D14" s="1394">
        <v>0</v>
      </c>
      <c r="E14" s="751"/>
    </row>
    <row r="15" spans="1:5" x14ac:dyDescent="0.35">
      <c r="A15" s="2076" t="s">
        <v>622</v>
      </c>
      <c r="B15" s="1374" t="s">
        <v>640</v>
      </c>
      <c r="C15" s="1375" t="s">
        <v>644</v>
      </c>
      <c r="D15" s="1394">
        <v>0</v>
      </c>
      <c r="E15" s="751"/>
    </row>
    <row r="16" spans="1:5" x14ac:dyDescent="0.35">
      <c r="A16" s="2076" t="s">
        <v>624</v>
      </c>
      <c r="B16" s="1374" t="s">
        <v>640</v>
      </c>
      <c r="C16" s="1375" t="s">
        <v>644</v>
      </c>
      <c r="D16" s="1394">
        <v>0</v>
      </c>
      <c r="E16" s="751"/>
    </row>
    <row r="17" spans="1:6" x14ac:dyDescent="0.35">
      <c r="A17" s="1377" t="s">
        <v>625</v>
      </c>
      <c r="B17" s="1374" t="s">
        <v>640</v>
      </c>
      <c r="C17" s="1378" t="s">
        <v>644</v>
      </c>
      <c r="D17" s="1394">
        <v>0</v>
      </c>
      <c r="E17" s="751"/>
    </row>
    <row r="18" spans="1:6" x14ac:dyDescent="0.35">
      <c r="A18" s="2076" t="s">
        <v>622</v>
      </c>
      <c r="B18" s="1374" t="s">
        <v>640</v>
      </c>
      <c r="C18" s="1375" t="s">
        <v>645</v>
      </c>
      <c r="D18" s="1394">
        <v>0</v>
      </c>
      <c r="E18" s="751"/>
    </row>
    <row r="19" spans="1:6" x14ac:dyDescent="0.35">
      <c r="A19" s="2076" t="s">
        <v>624</v>
      </c>
      <c r="B19" s="1374" t="s">
        <v>640</v>
      </c>
      <c r="C19" s="1375" t="s">
        <v>645</v>
      </c>
      <c r="D19" s="1394">
        <v>0</v>
      </c>
      <c r="E19" s="751"/>
    </row>
    <row r="20" spans="1:6" x14ac:dyDescent="0.35">
      <c r="A20" s="1377" t="s">
        <v>625</v>
      </c>
      <c r="B20" s="1374" t="s">
        <v>640</v>
      </c>
      <c r="C20" s="1378" t="s">
        <v>645</v>
      </c>
      <c r="D20" s="1394">
        <v>0</v>
      </c>
      <c r="E20" s="751"/>
    </row>
    <row r="21" spans="1:6" x14ac:dyDescent="0.35">
      <c r="A21" s="1377" t="s">
        <v>624</v>
      </c>
      <c r="B21" s="1374" t="s">
        <v>640</v>
      </c>
      <c r="C21" s="1378" t="s">
        <v>646</v>
      </c>
      <c r="D21" s="1394">
        <v>0</v>
      </c>
      <c r="E21" s="751"/>
    </row>
    <row r="22" spans="1:6" x14ac:dyDescent="0.35">
      <c r="A22" s="1377" t="s">
        <v>625</v>
      </c>
      <c r="B22" s="1374" t="s">
        <v>640</v>
      </c>
      <c r="C22" s="1378" t="s">
        <v>646</v>
      </c>
      <c r="D22" s="1394">
        <v>0</v>
      </c>
      <c r="E22" s="751"/>
    </row>
    <row r="23" spans="1:6" x14ac:dyDescent="0.35">
      <c r="A23" s="2076" t="s">
        <v>622</v>
      </c>
      <c r="B23" s="1374" t="s">
        <v>640</v>
      </c>
      <c r="C23" s="1375" t="s">
        <v>648</v>
      </c>
      <c r="D23" s="1394">
        <v>0</v>
      </c>
      <c r="E23" s="751"/>
    </row>
    <row r="24" spans="1:6" x14ac:dyDescent="0.35">
      <c r="A24" s="2076" t="s">
        <v>624</v>
      </c>
      <c r="B24" s="1374" t="s">
        <v>640</v>
      </c>
      <c r="C24" s="1375" t="s">
        <v>648</v>
      </c>
      <c r="D24" s="1394">
        <v>0</v>
      </c>
      <c r="E24" s="751"/>
    </row>
    <row r="25" spans="1:6" x14ac:dyDescent="0.35">
      <c r="A25" s="1377" t="s">
        <v>625</v>
      </c>
      <c r="B25" s="1374" t="s">
        <v>640</v>
      </c>
      <c r="C25" s="1378" t="s">
        <v>648</v>
      </c>
      <c r="D25" s="1394">
        <v>0</v>
      </c>
      <c r="E25" s="751"/>
    </row>
    <row r="26" spans="1:6" x14ac:dyDescent="0.35">
      <c r="A26" s="2076" t="s">
        <v>622</v>
      </c>
      <c r="B26" s="1374" t="s">
        <v>640</v>
      </c>
      <c r="C26" s="1375" t="s">
        <v>649</v>
      </c>
      <c r="D26" s="1395">
        <v>0</v>
      </c>
      <c r="E26" s="751"/>
    </row>
    <row r="27" spans="1:6" x14ac:dyDescent="0.35">
      <c r="A27" s="2076" t="s">
        <v>624</v>
      </c>
      <c r="B27" s="1374" t="s">
        <v>640</v>
      </c>
      <c r="C27" s="1384" t="s">
        <v>649</v>
      </c>
      <c r="D27" s="1395">
        <v>0</v>
      </c>
      <c r="E27" s="751"/>
    </row>
    <row r="28" spans="1:6" x14ac:dyDescent="0.35">
      <c r="A28" s="1377" t="s">
        <v>625</v>
      </c>
      <c r="B28" s="1374" t="s">
        <v>640</v>
      </c>
      <c r="C28" s="1396" t="s">
        <v>649</v>
      </c>
      <c r="D28" s="1395">
        <v>0</v>
      </c>
      <c r="E28" s="751"/>
    </row>
    <row r="29" spans="1:6" ht="13.5" customHeight="1" thickBot="1" x14ac:dyDescent="0.4">
      <c r="A29" s="2077"/>
      <c r="B29" s="1379" t="s">
        <v>640</v>
      </c>
      <c r="C29" s="1397"/>
      <c r="D29" s="1398"/>
      <c r="E29" s="758"/>
    </row>
    <row r="30" spans="1:6" ht="15" thickBot="1" x14ac:dyDescent="0.4">
      <c r="A30" s="928"/>
      <c r="B30" s="1393"/>
      <c r="C30" s="929" t="s">
        <v>659</v>
      </c>
      <c r="D30" s="927">
        <f>SUM(D10:D29)</f>
        <v>0</v>
      </c>
      <c r="E30" s="921" cm="1">
        <f t="array" ref="E30">_xlfn.XLOOKUP($C$3,'FS-Balance Sheet 3.04'!$C$5:$F$5,_xlfn.XLOOKUP("20145-01",'FS-Balance Sheet 3.04'!$A$9:$A$100,'FS-Balance Sheet 3.04'!$C$9:$F$100),0)</f>
        <v>0</v>
      </c>
      <c r="F30" s="2008" t="str">
        <f>IF(OR(D30=0,E30=0),"",IF(ROUND(D30,2)&lt;&gt;ROUND(E30,2),"Total Amount does not match the Balance Sheet. Correction Required",""))</f>
        <v/>
      </c>
    </row>
    <row r="31" spans="1:6" ht="15" thickBot="1" x14ac:dyDescent="0.4">
      <c r="A31" s="1514" t="s">
        <v>660</v>
      </c>
      <c r="B31" s="1446"/>
      <c r="C31" s="1523"/>
      <c r="D31" s="1524"/>
      <c r="E31" s="746"/>
    </row>
    <row r="32" spans="1:6" ht="15" thickBot="1" x14ac:dyDescent="0.4">
      <c r="A32" s="1683" t="s">
        <v>521</v>
      </c>
      <c r="B32" s="1684" t="s">
        <v>656</v>
      </c>
      <c r="C32" s="1691" t="s">
        <v>549</v>
      </c>
      <c r="D32" s="1688" t="s">
        <v>457</v>
      </c>
      <c r="E32" s="751"/>
    </row>
    <row r="33" spans="1:6" x14ac:dyDescent="0.35">
      <c r="A33" s="2075" t="s">
        <v>639</v>
      </c>
      <c r="B33" s="1371" t="s">
        <v>640</v>
      </c>
      <c r="C33" s="1372" t="s">
        <v>661</v>
      </c>
      <c r="D33" s="1376">
        <v>0</v>
      </c>
      <c r="E33" s="751"/>
    </row>
    <row r="34" spans="1:6" x14ac:dyDescent="0.35">
      <c r="A34" s="2075" t="s">
        <v>639</v>
      </c>
      <c r="B34" s="1371" t="s">
        <v>640</v>
      </c>
      <c r="C34" s="1382" t="s">
        <v>662</v>
      </c>
      <c r="D34" s="1376">
        <v>0</v>
      </c>
      <c r="E34" s="751"/>
    </row>
    <row r="35" spans="1:6" ht="13.5" customHeight="1" thickBot="1" x14ac:dyDescent="0.4">
      <c r="A35" s="2075"/>
      <c r="B35" s="1371" t="s">
        <v>640</v>
      </c>
      <c r="C35" s="1383"/>
      <c r="D35" s="1399">
        <v>0</v>
      </c>
      <c r="E35" s="758"/>
    </row>
    <row r="36" spans="1:6" x14ac:dyDescent="0.35">
      <c r="A36" s="930"/>
      <c r="B36" s="1369"/>
      <c r="C36" s="1391" t="s">
        <v>659</v>
      </c>
      <c r="D36" s="1400">
        <f>SUM(D33:D35)</f>
        <v>0</v>
      </c>
      <c r="E36" s="931" cm="1">
        <f t="array" ref="E36">_xlfn.XLOOKUP($C$3,'FS-Balance Sheet 3.04'!$C$5:$F$5,_xlfn.XLOOKUP("20215-01",'FS-Balance Sheet 3.04'!$A$9:$A$100,'FS-Balance Sheet 3.04'!$C$9:$F$100),0)</f>
        <v>0</v>
      </c>
      <c r="F36" s="2008" t="str">
        <f>IF(OR(D36=0,E36=0),"",IF(ROUND(D36,2)&lt;&gt;ROUND(E36,2),"Total Amount does not match the Balance Sheet. Correction Required",""))</f>
        <v/>
      </c>
    </row>
    <row r="37" spans="1:6" ht="15" thickBot="1" x14ac:dyDescent="0.4">
      <c r="A37" s="932"/>
      <c r="B37" s="1370"/>
      <c r="C37" s="1392" t="s">
        <v>663</v>
      </c>
      <c r="D37" s="1401">
        <f>D30+D36</f>
        <v>0</v>
      </c>
      <c r="E37" s="933">
        <f>E30+E36</f>
        <v>0</v>
      </c>
    </row>
  </sheetData>
  <conditionalFormatting sqref="A10:C29">
    <cfRule type="expression" dxfId="35" priority="3">
      <formula>AND($A10&lt;&gt;"",$C10="")</formula>
    </cfRule>
    <cfRule type="expression" dxfId="34" priority="4">
      <formula>AND($A10="",$C10&lt;&gt;"")</formula>
    </cfRule>
  </conditionalFormatting>
  <conditionalFormatting sqref="A33:C35">
    <cfRule type="expression" dxfId="33" priority="1">
      <formula>AND($A33&lt;&gt;"",$C33="")</formula>
    </cfRule>
    <cfRule type="expression" dxfId="32" priority="2">
      <formula>AND($A33="",$C33&lt;&gt;"")</formula>
    </cfRule>
  </conditionalFormatting>
  <conditionalFormatting sqref="F30">
    <cfRule type="containsText" dxfId="31" priority="6" operator="containsText" text="correction">
      <formula>NOT(ISERROR(SEARCH("correction",F30)))</formula>
    </cfRule>
  </conditionalFormatting>
  <conditionalFormatting sqref="F36">
    <cfRule type="containsText" dxfId="30" priority="5" operator="containsText" text="correction">
      <formula>NOT(ISERROR(SEARCH("correction",F36)))</formula>
    </cfRule>
  </conditionalFormatting>
  <dataValidations count="1">
    <dataValidation type="list" allowBlank="1" showInputMessage="1" showErrorMessage="1" sqref="B10:B29 B33:B35" xr:uid="{38610CBC-0135-4A92-A61D-125B7DD24B51}">
      <formula1>"Select One,AHCCCS,Provider,Other"</formula1>
    </dataValidation>
  </dataValidations>
  <printOptions gridLinesSet="0"/>
  <pageMargins left="0.22" right="0.17" top="0.3" bottom="1" header="0.17" footer="0.5"/>
  <pageSetup scale="75" orientation="portrait" r:id="rId1"/>
  <headerFooter alignWithMargins="0">
    <oddFooter>&amp;L&amp;Z&amp;F&amp;A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BBAD-9C3F-4395-B439-28358425EE7C}">
  <sheetPr>
    <pageSetUpPr fitToPage="1"/>
  </sheetPr>
  <dimension ref="A1:F50"/>
  <sheetViews>
    <sheetView showGridLines="0" zoomScaleNormal="100" zoomScaleSheetLayoutView="90" workbookViewId="0">
      <selection activeCell="C24" sqref="C24"/>
    </sheetView>
  </sheetViews>
  <sheetFormatPr defaultColWidth="9.1796875" defaultRowHeight="14.5" x14ac:dyDescent="0.35"/>
  <cols>
    <col min="1" max="2" width="17.7265625" style="922" customWidth="1"/>
    <col min="3" max="3" width="75.7265625" style="21" customWidth="1"/>
    <col min="4" max="4" width="15.7265625" style="923" customWidth="1"/>
    <col min="5" max="5" width="14.81640625" style="922" bestFit="1" customWidth="1"/>
    <col min="6" max="6" width="63.54296875" style="922" customWidth="1"/>
    <col min="7" max="16384" width="9.1796875" style="922"/>
  </cols>
  <sheetData>
    <row r="1" spans="1:5" ht="15" thickBot="1" x14ac:dyDescent="0.4">
      <c r="A1" s="1525" t="s">
        <v>664</v>
      </c>
      <c r="B1" s="1526"/>
      <c r="C1" s="1526"/>
      <c r="D1" s="1527"/>
    </row>
    <row r="2" spans="1:5" x14ac:dyDescent="0.35">
      <c r="A2" s="597" t="s">
        <v>45</v>
      </c>
      <c r="B2" s="861" t="str">
        <f>'Instruction &amp; Audit Report B '!C20</f>
        <v>Select Contractor Name</v>
      </c>
    </row>
    <row r="3" spans="1:5" x14ac:dyDescent="0.35">
      <c r="A3" s="597" t="s">
        <v>79</v>
      </c>
      <c r="B3" s="862" t="str">
        <f>'Instruction &amp; Audit Report B '!C21</f>
        <v>mm/dd/yyyy</v>
      </c>
    </row>
    <row r="4" spans="1:5" x14ac:dyDescent="0.35">
      <c r="A4" s="597"/>
      <c r="B4" s="597"/>
      <c r="C4" s="862"/>
    </row>
    <row r="5" spans="1:5" x14ac:dyDescent="0.35">
      <c r="A5" s="920" t="s">
        <v>615</v>
      </c>
      <c r="B5" s="920"/>
      <c r="C5" s="862"/>
    </row>
    <row r="6" spans="1:5" x14ac:dyDescent="0.35">
      <c r="A6" s="597"/>
      <c r="B6" s="597"/>
      <c r="C6" s="862"/>
    </row>
    <row r="7" spans="1:5" ht="15" thickBot="1" x14ac:dyDescent="0.4">
      <c r="A7" s="21"/>
      <c r="B7" s="21"/>
      <c r="D7" s="21"/>
      <c r="E7" s="848" t="s">
        <v>616</v>
      </c>
    </row>
    <row r="8" spans="1:5" ht="15" thickBot="1" x14ac:dyDescent="0.4">
      <c r="A8" s="1525" t="s">
        <v>665</v>
      </c>
      <c r="B8" s="1526"/>
      <c r="C8" s="1526"/>
      <c r="D8" s="1528"/>
      <c r="E8" s="1430" t="s">
        <v>56</v>
      </c>
    </row>
    <row r="9" spans="1:5" ht="15" thickBot="1" x14ac:dyDescent="0.4">
      <c r="A9" s="1769" t="s">
        <v>521</v>
      </c>
      <c r="B9" s="2261" t="s">
        <v>512</v>
      </c>
      <c r="C9" s="2262"/>
      <c r="D9" s="1688" t="s">
        <v>457</v>
      </c>
      <c r="E9" s="1431" t="s">
        <v>618</v>
      </c>
    </row>
    <row r="10" spans="1:5" x14ac:dyDescent="0.35">
      <c r="A10" s="2070"/>
      <c r="B10" s="1355"/>
      <c r="C10" s="1388"/>
      <c r="D10" s="1356">
        <v>0</v>
      </c>
      <c r="E10" s="925"/>
    </row>
    <row r="11" spans="1:5" x14ac:dyDescent="0.35">
      <c r="A11" s="2070"/>
      <c r="B11" s="1355"/>
      <c r="C11" s="1388"/>
      <c r="D11" s="1356">
        <v>0</v>
      </c>
      <c r="E11" s="925"/>
    </row>
    <row r="12" spans="1:5" x14ac:dyDescent="0.35">
      <c r="A12" s="2070"/>
      <c r="B12" s="1355"/>
      <c r="C12" s="1388"/>
      <c r="D12" s="1356">
        <v>0</v>
      </c>
      <c r="E12" s="925"/>
    </row>
    <row r="13" spans="1:5" x14ac:dyDescent="0.35">
      <c r="A13" s="2070"/>
      <c r="B13" s="1355"/>
      <c r="C13" s="1388"/>
      <c r="D13" s="1356">
        <v>0</v>
      </c>
      <c r="E13" s="925"/>
    </row>
    <row r="14" spans="1:5" x14ac:dyDescent="0.35">
      <c r="A14" s="2070"/>
      <c r="B14" s="1355"/>
      <c r="C14" s="1388"/>
      <c r="D14" s="1356">
        <v>0</v>
      </c>
      <c r="E14" s="925"/>
    </row>
    <row r="15" spans="1:5" x14ac:dyDescent="0.35">
      <c r="A15" s="2070"/>
      <c r="B15" s="1355"/>
      <c r="C15" s="1388"/>
      <c r="D15" s="1356">
        <v>0</v>
      </c>
      <c r="E15" s="925"/>
    </row>
    <row r="16" spans="1:5" ht="15" thickBot="1" x14ac:dyDescent="0.4">
      <c r="A16" s="2070"/>
      <c r="B16" s="1355"/>
      <c r="C16" s="1388"/>
      <c r="D16" s="1356">
        <v>0</v>
      </c>
      <c r="E16" s="926"/>
    </row>
    <row r="17" spans="1:6" ht="15" thickBot="1" x14ac:dyDescent="0.4">
      <c r="A17" s="850"/>
      <c r="B17" s="1402"/>
      <c r="C17" s="1406" t="s">
        <v>659</v>
      </c>
      <c r="D17" s="1405">
        <f>SUM(D10:D16)</f>
        <v>0</v>
      </c>
      <c r="E17" s="921" cm="1">
        <f t="array" ref="E17">_xlfn.XLOOKUP($B$3,'FS-Balance Sheet 3.04'!$C$5:$F$5,_xlfn.XLOOKUP("10140-01",'FS-Balance Sheet 3.04'!$A$9:$A$100,'FS-Balance Sheet 3.04'!$C$9:$F$100),0)</f>
        <v>0</v>
      </c>
      <c r="F17" s="2008" t="str">
        <f>IF(OR(D17=0,E17=0),"",IF(ROUND(D17,2)&lt;&gt;ROUND(E17,2),"Total Amount does not match the Balance Sheet. Correction Required",""))</f>
        <v/>
      </c>
    </row>
    <row r="18" spans="1:6" ht="15" thickBot="1" x14ac:dyDescent="0.4">
      <c r="A18" s="1529" t="s">
        <v>666</v>
      </c>
      <c r="B18" s="1530"/>
      <c r="C18" s="1530"/>
      <c r="D18" s="1528"/>
      <c r="E18" s="924"/>
    </row>
    <row r="19" spans="1:6" ht="15" thickBot="1" x14ac:dyDescent="0.4">
      <c r="A19" s="1769" t="s">
        <v>521</v>
      </c>
      <c r="B19" s="2261" t="s">
        <v>512</v>
      </c>
      <c r="C19" s="2262"/>
      <c r="D19" s="1688" t="s">
        <v>457</v>
      </c>
      <c r="E19" s="925"/>
    </row>
    <row r="20" spans="1:6" x14ac:dyDescent="0.35">
      <c r="A20" s="2070"/>
      <c r="B20" s="1355"/>
      <c r="C20" s="1388"/>
      <c r="D20" s="1356">
        <v>0</v>
      </c>
      <c r="E20" s="925"/>
    </row>
    <row r="21" spans="1:6" x14ac:dyDescent="0.35">
      <c r="A21" s="2070"/>
      <c r="B21" s="1355"/>
      <c r="C21" s="1388"/>
      <c r="D21" s="1356">
        <v>0</v>
      </c>
      <c r="E21" s="925"/>
    </row>
    <row r="22" spans="1:6" x14ac:dyDescent="0.35">
      <c r="A22" s="2070"/>
      <c r="B22" s="1355"/>
      <c r="C22" s="1388"/>
      <c r="D22" s="1356">
        <v>0</v>
      </c>
      <c r="E22" s="925"/>
    </row>
    <row r="23" spans="1:6" x14ac:dyDescent="0.35">
      <c r="A23" s="2070"/>
      <c r="B23" s="1355"/>
      <c r="C23" s="1388"/>
      <c r="D23" s="1356">
        <v>0</v>
      </c>
      <c r="E23" s="925"/>
    </row>
    <row r="24" spans="1:6" x14ac:dyDescent="0.35">
      <c r="A24" s="2070"/>
      <c r="B24" s="1355"/>
      <c r="C24" s="1388"/>
      <c r="D24" s="1356">
        <v>0</v>
      </c>
      <c r="E24" s="925"/>
    </row>
    <row r="25" spans="1:6" x14ac:dyDescent="0.35">
      <c r="A25" s="2070"/>
      <c r="B25" s="1355"/>
      <c r="C25" s="1388"/>
      <c r="D25" s="1356">
        <v>0</v>
      </c>
      <c r="E25" s="925"/>
    </row>
    <row r="26" spans="1:6" x14ac:dyDescent="0.35">
      <c r="A26" s="2070"/>
      <c r="B26" s="1355"/>
      <c r="C26" s="1388"/>
      <c r="D26" s="1356">
        <v>0</v>
      </c>
      <c r="E26" s="925"/>
    </row>
    <row r="27" spans="1:6" x14ac:dyDescent="0.35">
      <c r="A27" s="2070"/>
      <c r="B27" s="1355"/>
      <c r="C27" s="1388"/>
      <c r="D27" s="1356">
        <v>0</v>
      </c>
      <c r="E27" s="925"/>
    </row>
    <row r="28" spans="1:6" x14ac:dyDescent="0.35">
      <c r="A28" s="2070"/>
      <c r="B28" s="1355"/>
      <c r="C28" s="1388"/>
      <c r="D28" s="1356">
        <v>0</v>
      </c>
      <c r="E28" s="925"/>
    </row>
    <row r="29" spans="1:6" x14ac:dyDescent="0.35">
      <c r="A29" s="2070"/>
      <c r="B29" s="1355"/>
      <c r="C29" s="1388"/>
      <c r="D29" s="1356">
        <v>0</v>
      </c>
      <c r="E29" s="925"/>
    </row>
    <row r="30" spans="1:6" x14ac:dyDescent="0.35">
      <c r="A30" s="2070"/>
      <c r="B30" s="1355"/>
      <c r="C30" s="1388"/>
      <c r="D30" s="1356">
        <v>0</v>
      </c>
      <c r="E30" s="925"/>
    </row>
    <row r="31" spans="1:6" x14ac:dyDescent="0.35">
      <c r="A31" s="2070"/>
      <c r="B31" s="1355"/>
      <c r="C31" s="1388"/>
      <c r="D31" s="1356">
        <v>0</v>
      </c>
      <c r="E31" s="925"/>
    </row>
    <row r="32" spans="1:6" x14ac:dyDescent="0.35">
      <c r="A32" s="2070"/>
      <c r="B32" s="1355"/>
      <c r="C32" s="1388"/>
      <c r="D32" s="1356">
        <v>0</v>
      </c>
      <c r="E32" s="925"/>
    </row>
    <row r="33" spans="1:6" x14ac:dyDescent="0.35">
      <c r="A33" s="2070"/>
      <c r="B33" s="1355"/>
      <c r="C33" s="1388"/>
      <c r="D33" s="1356">
        <v>0</v>
      </c>
      <c r="E33" s="925"/>
    </row>
    <row r="34" spans="1:6" x14ac:dyDescent="0.35">
      <c r="A34" s="2070"/>
      <c r="B34" s="1355"/>
      <c r="C34" s="1388"/>
      <c r="D34" s="1356">
        <v>0</v>
      </c>
      <c r="E34" s="925"/>
    </row>
    <row r="35" spans="1:6" x14ac:dyDescent="0.35">
      <c r="A35" s="2070"/>
      <c r="B35" s="1355"/>
      <c r="C35" s="1388"/>
      <c r="D35" s="1356">
        <v>0</v>
      </c>
      <c r="E35" s="925"/>
    </row>
    <row r="36" spans="1:6" x14ac:dyDescent="0.35">
      <c r="A36" s="2070"/>
      <c r="B36" s="1355"/>
      <c r="C36" s="1388"/>
      <c r="D36" s="1356">
        <v>0</v>
      </c>
      <c r="E36" s="925"/>
    </row>
    <row r="37" spans="1:6" x14ac:dyDescent="0.35">
      <c r="A37" s="2070"/>
      <c r="B37" s="1355"/>
      <c r="C37" s="1388"/>
      <c r="D37" s="1356">
        <v>0</v>
      </c>
      <c r="E37" s="925"/>
    </row>
    <row r="38" spans="1:6" x14ac:dyDescent="0.35">
      <c r="A38" s="2070"/>
      <c r="B38" s="1355"/>
      <c r="C38" s="1388"/>
      <c r="D38" s="1356">
        <v>0</v>
      </c>
      <c r="E38" s="925"/>
    </row>
    <row r="39" spans="1:6" ht="15" thickBot="1" x14ac:dyDescent="0.4">
      <c r="A39" s="2070"/>
      <c r="B39" s="1355"/>
      <c r="C39" s="1388"/>
      <c r="D39" s="1356">
        <v>0</v>
      </c>
      <c r="E39" s="926"/>
    </row>
    <row r="40" spans="1:6" ht="15" thickBot="1" x14ac:dyDescent="0.4">
      <c r="A40" s="850"/>
      <c r="B40" s="1402"/>
      <c r="C40" s="1406" t="s">
        <v>468</v>
      </c>
      <c r="D40" s="1774">
        <f>SUM(D20:D39)</f>
        <v>0</v>
      </c>
      <c r="E40" s="921" cm="1">
        <f t="array" ref="E40">_xlfn.XLOOKUP($B$3,'FS-Balance Sheet 3.04'!$C$5:$F$5,_xlfn.XLOOKUP("20130-01",'FS-Balance Sheet 3.04'!$A$9:$A$100,'FS-Balance Sheet 3.04'!$C$9:$F$100),0)</f>
        <v>0</v>
      </c>
      <c r="F40" s="2008" t="str">
        <f>IF(OR(D40=0,E40=0),"",IF(ROUND(D40,2)&lt;&gt;ROUND(E40,2),"Total Amount does not match the Balance Sheet. Correction Required",""))</f>
        <v/>
      </c>
    </row>
    <row r="41" spans="1:6" ht="15" thickBot="1" x14ac:dyDescent="0.4">
      <c r="A41" s="1529" t="s">
        <v>667</v>
      </c>
      <c r="B41" s="1530"/>
      <c r="C41" s="1530"/>
      <c r="D41" s="1528"/>
      <c r="E41" s="924"/>
    </row>
    <row r="42" spans="1:6" ht="15" thickBot="1" x14ac:dyDescent="0.4">
      <c r="A42" s="1769" t="s">
        <v>521</v>
      </c>
      <c r="B42" s="1691" t="s">
        <v>656</v>
      </c>
      <c r="C42" s="1687" t="s">
        <v>512</v>
      </c>
      <c r="D42" s="1688" t="s">
        <v>457</v>
      </c>
      <c r="E42" s="925"/>
    </row>
    <row r="43" spans="1:6" x14ac:dyDescent="0.35">
      <c r="A43" s="2075"/>
      <c r="B43" s="1371" t="s">
        <v>640</v>
      </c>
      <c r="C43" s="1382"/>
      <c r="D43" s="1373">
        <v>0</v>
      </c>
      <c r="E43" s="925"/>
    </row>
    <row r="44" spans="1:6" x14ac:dyDescent="0.35">
      <c r="A44" s="2075"/>
      <c r="B44" s="1371" t="s">
        <v>640</v>
      </c>
      <c r="C44" s="1382"/>
      <c r="D44" s="1373">
        <v>0</v>
      </c>
      <c r="E44" s="925"/>
    </row>
    <row r="45" spans="1:6" x14ac:dyDescent="0.35">
      <c r="A45" s="2075"/>
      <c r="B45" s="1371" t="s">
        <v>640</v>
      </c>
      <c r="C45" s="1382"/>
      <c r="D45" s="1373">
        <v>0</v>
      </c>
      <c r="E45" s="925"/>
    </row>
    <row r="46" spans="1:6" x14ac:dyDescent="0.35">
      <c r="A46" s="2075"/>
      <c r="B46" s="1371" t="s">
        <v>640</v>
      </c>
      <c r="C46" s="1382"/>
      <c r="D46" s="1373">
        <v>0</v>
      </c>
      <c r="E46" s="925"/>
    </row>
    <row r="47" spans="1:6" x14ac:dyDescent="0.35">
      <c r="A47" s="2075"/>
      <c r="B47" s="1371" t="s">
        <v>640</v>
      </c>
      <c r="C47" s="1382"/>
      <c r="D47" s="1373">
        <v>0</v>
      </c>
      <c r="E47" s="925"/>
    </row>
    <row r="48" spans="1:6" ht="15" thickBot="1" x14ac:dyDescent="0.4">
      <c r="A48" s="2075"/>
      <c r="B48" s="1371" t="s">
        <v>640</v>
      </c>
      <c r="C48" s="1382"/>
      <c r="D48" s="1373">
        <v>0</v>
      </c>
      <c r="E48" s="925"/>
    </row>
    <row r="49" spans="1:6" x14ac:dyDescent="0.35">
      <c r="A49" s="852"/>
      <c r="B49" s="1403"/>
      <c r="C49" s="1409" t="s">
        <v>659</v>
      </c>
      <c r="D49" s="1407">
        <f>SUM(D43:D48)</f>
        <v>0</v>
      </c>
      <c r="E49" s="853" cm="1">
        <f t="array" ref="E49">_xlfn.XLOOKUP($B$3,'FS-Balance Sheet 3.04'!$C$5:$F$5,_xlfn.XLOOKUP("20215-01",'FS-Balance Sheet 3.04'!$A$9:$A$100,'FS-Balance Sheet 3.04'!$C$9:$F$100),0)</f>
        <v>0</v>
      </c>
      <c r="F49" s="922" t="str">
        <f>IF(OR(D49=0,E49=0),"",IF(ROUND(D49,2)&lt;&gt;ROUND(E49,2),"Total Amount does not match the Balance Sheet. Correction Required",""))</f>
        <v/>
      </c>
    </row>
    <row r="50" spans="1:6" ht="15" thickBot="1" x14ac:dyDescent="0.4">
      <c r="A50" s="854"/>
      <c r="B50" s="1404"/>
      <c r="C50" s="1410" t="s">
        <v>663</v>
      </c>
      <c r="D50" s="1408">
        <f>D17+D40+D49</f>
        <v>0</v>
      </c>
      <c r="E50" s="856">
        <f>E17+E40+E49</f>
        <v>0</v>
      </c>
    </row>
  </sheetData>
  <mergeCells count="2">
    <mergeCell ref="B9:C9"/>
    <mergeCell ref="B19:C19"/>
  </mergeCells>
  <conditionalFormatting sqref="A10:D16">
    <cfRule type="expression" dxfId="29" priority="5">
      <formula>AND($A10="",$B10&lt;&gt;"")</formula>
    </cfRule>
    <cfRule type="expression" dxfId="28" priority="6">
      <formula>AND($A10&lt;&gt;"",$B10="")</formula>
    </cfRule>
  </conditionalFormatting>
  <conditionalFormatting sqref="A20:D39">
    <cfRule type="expression" dxfId="27" priority="3">
      <formula>AND($A20="",$B20&lt;&gt;"")</formula>
    </cfRule>
    <cfRule type="expression" dxfId="26" priority="4">
      <formula>AND($A20&lt;&gt;"",$B20="")</formula>
    </cfRule>
  </conditionalFormatting>
  <conditionalFormatting sqref="A43:D48">
    <cfRule type="expression" dxfId="25" priority="1">
      <formula>AND($A43&lt;&gt;"",$C43="")</formula>
    </cfRule>
    <cfRule type="expression" dxfId="24" priority="2">
      <formula>AND($A43="",$C43&lt;&gt;"")</formula>
    </cfRule>
  </conditionalFormatting>
  <conditionalFormatting sqref="F17">
    <cfRule type="containsText" dxfId="23" priority="8" operator="containsText" text="correction">
      <formula>NOT(ISERROR(SEARCH("correction",F17)))</formula>
    </cfRule>
  </conditionalFormatting>
  <conditionalFormatting sqref="F40">
    <cfRule type="containsText" dxfId="22" priority="7" operator="containsText" text="correction">
      <formula>NOT(ISERROR(SEARCH("correction",F40)))</formula>
    </cfRule>
  </conditionalFormatting>
  <dataValidations disablePrompts="1" count="1">
    <dataValidation type="list" allowBlank="1" showInputMessage="1" showErrorMessage="1" sqref="B43:B48" xr:uid="{08100FB6-65B9-4E45-9274-80B592B4B94A}">
      <formula1>"Select One,AHCCCS,Provider"</formula1>
    </dataValidation>
  </dataValidations>
  <pageMargins left="0.75" right="0.75" top="1" bottom="1" header="0.5" footer="0.5"/>
  <pageSetup scale="95" orientation="portrait" r:id="rId1"/>
  <headerFooter alignWithMargins="0">
    <oddFooter>&amp;L&amp;8
&amp;F&amp;A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59A8-FAFA-426C-AFA0-AAF0A50EDF8B}">
  <sheetPr syncVertical="1" syncRef="A1" transitionEvaluation="1">
    <pageSetUpPr fitToPage="1"/>
  </sheetPr>
  <dimension ref="A1:E19"/>
  <sheetViews>
    <sheetView showGridLines="0" zoomScaleNormal="100" zoomScaleSheetLayoutView="75" workbookViewId="0">
      <selection activeCell="A14" sqref="A14"/>
    </sheetView>
  </sheetViews>
  <sheetFormatPr defaultColWidth="12.54296875" defaultRowHeight="14.5" x14ac:dyDescent="0.35"/>
  <cols>
    <col min="1" max="1" width="17.7265625" style="400" customWidth="1"/>
    <col min="2" max="2" width="75.7265625" style="400" customWidth="1"/>
    <col min="3" max="3" width="15.7265625" style="847" customWidth="1"/>
    <col min="4" max="4" width="15.54296875" style="400" bestFit="1" customWidth="1"/>
    <col min="5" max="5" width="63.54296875" style="400" customWidth="1"/>
    <col min="6" max="16384" width="12.54296875" style="400"/>
  </cols>
  <sheetData>
    <row r="1" spans="1:5" ht="15" thickBot="1" x14ac:dyDescent="0.4">
      <c r="A1" s="1514" t="s">
        <v>668</v>
      </c>
      <c r="B1" s="1531"/>
      <c r="C1" s="1532"/>
    </row>
    <row r="2" spans="1:5" x14ac:dyDescent="0.35">
      <c r="A2" s="597" t="s">
        <v>45</v>
      </c>
      <c r="B2" s="861" t="str">
        <f>'Instruction &amp; Audit Report B '!C20</f>
        <v>Select Contractor Name</v>
      </c>
    </row>
    <row r="3" spans="1:5" x14ac:dyDescent="0.35">
      <c r="A3" s="597" t="s">
        <v>79</v>
      </c>
      <c r="B3" s="862" t="str">
        <f>'FS-Balance Sheet 3.04'!B5</f>
        <v>mm/dd/yyyy</v>
      </c>
    </row>
    <row r="4" spans="1:5" x14ac:dyDescent="0.35">
      <c r="A4" s="597"/>
      <c r="B4" s="862"/>
    </row>
    <row r="5" spans="1:5" x14ac:dyDescent="0.35">
      <c r="A5" s="920" t="s">
        <v>615</v>
      </c>
      <c r="B5" s="862"/>
    </row>
    <row r="6" spans="1:5" x14ac:dyDescent="0.35">
      <c r="A6" s="597"/>
      <c r="B6" s="862"/>
    </row>
    <row r="7" spans="1:5" ht="15" thickBot="1" x14ac:dyDescent="0.4">
      <c r="A7" s="597"/>
      <c r="B7" s="8"/>
      <c r="D7" s="848" t="s">
        <v>616</v>
      </c>
    </row>
    <row r="8" spans="1:5" ht="15" thickBot="1" x14ac:dyDescent="0.4">
      <c r="A8" s="2263" t="s">
        <v>669</v>
      </c>
      <c r="B8" s="2264"/>
      <c r="C8" s="1773" t="s">
        <v>457</v>
      </c>
      <c r="D8" s="1430" t="s">
        <v>56</v>
      </c>
    </row>
    <row r="9" spans="1:5" ht="15" thickBot="1" x14ac:dyDescent="0.4">
      <c r="A9" s="1869" t="s">
        <v>670</v>
      </c>
      <c r="B9" s="1870"/>
      <c r="C9" s="1871"/>
      <c r="D9" s="1431" t="s">
        <v>618</v>
      </c>
    </row>
    <row r="10" spans="1:5" x14ac:dyDescent="0.35">
      <c r="A10" s="1868"/>
      <c r="B10" s="1385"/>
      <c r="C10" s="1771">
        <v>0</v>
      </c>
      <c r="D10" s="746"/>
    </row>
    <row r="11" spans="1:5" x14ac:dyDescent="0.35">
      <c r="A11" s="849"/>
      <c r="B11" s="1772"/>
      <c r="C11" s="1771">
        <v>0</v>
      </c>
      <c r="D11" s="751"/>
    </row>
    <row r="12" spans="1:5" ht="13.5" customHeight="1" thickBot="1" x14ac:dyDescent="0.4">
      <c r="A12" s="849"/>
      <c r="B12" s="1772"/>
      <c r="C12" s="1771">
        <v>0</v>
      </c>
      <c r="D12" s="758"/>
    </row>
    <row r="13" spans="1:5" ht="15" thickBot="1" x14ac:dyDescent="0.4">
      <c r="A13" s="850"/>
      <c r="B13" s="1406" t="s">
        <v>659</v>
      </c>
      <c r="C13" s="759">
        <f>SUM(C10:C12)</f>
        <v>0</v>
      </c>
      <c r="D13" s="921" cm="1">
        <f t="array" ref="D13">_xlfn.XLOOKUP($B$3,'FS-Balance Sheet 3.04'!$C$5:$F$5,_xlfn.XLOOKUP("20135-01",'FS-Balance Sheet 3.04'!$A$9:$A$100,'FS-Balance Sheet 3.04'!$C$9:$F$100),0)</f>
        <v>0</v>
      </c>
      <c r="E13" s="2008" t="str">
        <f>IF(OR(C13=0,D13=0),"",IF(ROUND(C13,2)&lt;&gt;ROUND(D13,2),"Total Amount does not match the Balance Sheet. Correction Required",""))</f>
        <v/>
      </c>
    </row>
    <row r="14" spans="1:5" ht="15" thickBot="1" x14ac:dyDescent="0.4">
      <c r="A14" s="1869" t="s">
        <v>671</v>
      </c>
      <c r="B14" s="1870"/>
      <c r="C14" s="1871"/>
      <c r="D14" s="746"/>
    </row>
    <row r="15" spans="1:5" x14ac:dyDescent="0.35">
      <c r="A15" s="1868"/>
      <c r="B15" s="1385"/>
      <c r="C15" s="1771">
        <v>0</v>
      </c>
      <c r="D15" s="751"/>
    </row>
    <row r="16" spans="1:5" x14ac:dyDescent="0.35">
      <c r="A16" s="849"/>
      <c r="B16" s="1772"/>
      <c r="C16" s="1771">
        <v>0</v>
      </c>
      <c r="D16" s="751"/>
    </row>
    <row r="17" spans="1:5" ht="13.5" customHeight="1" thickBot="1" x14ac:dyDescent="0.4">
      <c r="A17" s="849"/>
      <c r="B17" s="1772"/>
      <c r="C17" s="1771">
        <v>0</v>
      </c>
      <c r="D17" s="758"/>
    </row>
    <row r="18" spans="1:5" x14ac:dyDescent="0.35">
      <c r="A18" s="852"/>
      <c r="B18" s="1409" t="s">
        <v>659</v>
      </c>
      <c r="C18" s="1407">
        <f>SUM(C15:C17)</f>
        <v>0</v>
      </c>
      <c r="D18" s="853" cm="1">
        <f t="array" ref="D18">_xlfn.XLOOKUP($B$3,'FS-Balance Sheet 3.04'!$C$5:$F$5,_xlfn.XLOOKUP("20205-01",'FS-Balance Sheet 3.04'!$A$9:$A$100,'FS-Balance Sheet 3.04'!$C$9:$F$100),0)</f>
        <v>0</v>
      </c>
      <c r="E18" s="2008" t="str">
        <f>IF(OR(C18=0,D18=0),"",IF(ROUND(C18,2)&lt;&gt;ROUND(D18,2),"Total Amount does not match the Balance Sheet. Correction Required",""))</f>
        <v/>
      </c>
    </row>
    <row r="19" spans="1:5" ht="15" thickBot="1" x14ac:dyDescent="0.4">
      <c r="A19" s="854"/>
      <c r="B19" s="1410" t="s">
        <v>663</v>
      </c>
      <c r="C19" s="1408">
        <f>C13+C18</f>
        <v>0</v>
      </c>
      <c r="D19" s="856">
        <f>D13+D18</f>
        <v>0</v>
      </c>
    </row>
  </sheetData>
  <mergeCells count="1">
    <mergeCell ref="A8:B8"/>
  </mergeCells>
  <conditionalFormatting sqref="E13">
    <cfRule type="containsText" dxfId="21" priority="2" operator="containsText" text="correction">
      <formula>NOT(ISERROR(SEARCH("correction",E13)))</formula>
    </cfRule>
  </conditionalFormatting>
  <conditionalFormatting sqref="E18">
    <cfRule type="containsText" dxfId="20" priority="1" operator="containsText" text="correction">
      <formula>NOT(ISERROR(SEARCH("correction",E18)))</formula>
    </cfRule>
  </conditionalFormatting>
  <printOptions gridLinesSet="0"/>
  <pageMargins left="0.22" right="0.17" top="0.3" bottom="1" header="0.17" footer="0.5"/>
  <pageSetup scale="80" orientation="portrait" r:id="rId1"/>
  <headerFooter alignWithMargins="0">
    <oddFooter>&amp;L&amp;Z&amp;F&amp;A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379F-6F93-4DFD-85C9-027C0F8CA8CF}">
  <sheetPr>
    <pageSetUpPr fitToPage="1"/>
  </sheetPr>
  <dimension ref="A1:L41"/>
  <sheetViews>
    <sheetView showGridLines="0" zoomScaleNormal="100" zoomScaleSheetLayoutView="75" workbookViewId="0">
      <selection activeCell="I27" sqref="I27"/>
    </sheetView>
  </sheetViews>
  <sheetFormatPr defaultColWidth="11.453125" defaultRowHeight="14.5" x14ac:dyDescent="0.35"/>
  <cols>
    <col min="1" max="1" width="24.54296875" style="400" customWidth="1"/>
    <col min="2" max="2" width="13" style="863" customWidth="1"/>
    <col min="3" max="3" width="12.81640625" style="400" customWidth="1"/>
    <col min="4" max="4" width="13.7265625" style="400" customWidth="1"/>
    <col min="5" max="5" width="12" style="400" customWidth="1"/>
    <col min="6" max="6" width="13.453125" style="400" customWidth="1"/>
    <col min="7" max="7" width="12.81640625" style="400" customWidth="1"/>
    <col min="8" max="8" width="15.54296875" style="400" bestFit="1" customWidth="1"/>
    <col min="9" max="9" width="12.54296875" style="400" customWidth="1"/>
    <col min="10" max="10" width="15.81640625" style="400" customWidth="1"/>
    <col min="11" max="11" width="11.453125" style="400"/>
    <col min="12" max="12" width="9.1796875" style="400" customWidth="1"/>
    <col min="13" max="16384" width="11.453125" style="400"/>
  </cols>
  <sheetData>
    <row r="1" spans="1:12" ht="15" thickBot="1" x14ac:dyDescent="0.4">
      <c r="A1" s="1509" t="s">
        <v>672</v>
      </c>
      <c r="B1" s="1533"/>
      <c r="C1" s="1533"/>
      <c r="D1" s="1533"/>
      <c r="E1" s="1533"/>
      <c r="F1" s="1533"/>
      <c r="G1" s="1533"/>
      <c r="H1" s="1533"/>
      <c r="I1" s="1534"/>
    </row>
    <row r="2" spans="1:12" x14ac:dyDescent="0.35">
      <c r="A2" s="722" t="s">
        <v>45</v>
      </c>
      <c r="B2" s="861" t="str">
        <f>'Instruction &amp; Audit Report B '!C20</f>
        <v>Select Contractor Name</v>
      </c>
    </row>
    <row r="3" spans="1:12" x14ac:dyDescent="0.35">
      <c r="A3" s="722" t="s">
        <v>424</v>
      </c>
      <c r="B3" s="862" t="str">
        <f>'Instruction &amp; Audit Report B '!C21</f>
        <v>mm/dd/yyyy</v>
      </c>
    </row>
    <row r="4" spans="1:12" ht="15" thickBot="1" x14ac:dyDescent="0.4"/>
    <row r="5" spans="1:12" ht="15" thickBot="1" x14ac:dyDescent="0.4">
      <c r="A5" s="21"/>
      <c r="B5" s="2265" t="s">
        <v>673</v>
      </c>
      <c r="C5" s="2266"/>
      <c r="D5" s="2266"/>
      <c r="E5" s="2266"/>
      <c r="F5" s="2266"/>
      <c r="G5" s="2266"/>
      <c r="H5" s="2266"/>
      <c r="I5" s="2266"/>
      <c r="J5" s="2267"/>
      <c r="K5" s="21"/>
      <c r="L5" s="21"/>
    </row>
    <row r="6" spans="1:12" s="647" customFormat="1" ht="15" thickBot="1" x14ac:dyDescent="0.4">
      <c r="A6" s="21"/>
      <c r="B6" s="1692" t="s">
        <v>674</v>
      </c>
      <c r="C6" s="1693" t="s">
        <v>675</v>
      </c>
      <c r="D6" s="1693" t="s">
        <v>676</v>
      </c>
      <c r="E6" s="1693" t="s">
        <v>677</v>
      </c>
      <c r="F6" s="1693" t="s">
        <v>678</v>
      </c>
      <c r="G6" s="1693" t="s">
        <v>679</v>
      </c>
      <c r="H6" s="1693" t="s">
        <v>680</v>
      </c>
      <c r="I6" s="1694" t="s">
        <v>681</v>
      </c>
      <c r="J6" s="1695" t="s">
        <v>682</v>
      </c>
      <c r="K6" s="1930" t="s">
        <v>470</v>
      </c>
      <c r="L6" s="21"/>
    </row>
    <row r="7" spans="1:12" s="647" customFormat="1" x14ac:dyDescent="0.35">
      <c r="A7" s="864" t="s">
        <v>674</v>
      </c>
      <c r="B7" s="865">
        <v>0</v>
      </c>
      <c r="C7" s="866">
        <v>0</v>
      </c>
      <c r="D7" s="867">
        <v>0</v>
      </c>
      <c r="E7" s="867">
        <v>0</v>
      </c>
      <c r="F7" s="867">
        <v>0</v>
      </c>
      <c r="G7" s="867">
        <v>0</v>
      </c>
      <c r="H7" s="867">
        <v>0</v>
      </c>
      <c r="I7" s="868">
        <v>0</v>
      </c>
      <c r="J7" s="869"/>
      <c r="K7" s="870">
        <f t="shared" ref="K7:K14" si="0">SUM(B7:J7)</f>
        <v>0</v>
      </c>
      <c r="L7" s="2268" t="s">
        <v>683</v>
      </c>
    </row>
    <row r="8" spans="1:12" s="647" customFormat="1" x14ac:dyDescent="0.35">
      <c r="A8" s="871" t="s">
        <v>675</v>
      </c>
      <c r="B8" s="872"/>
      <c r="C8" s="873">
        <v>0</v>
      </c>
      <c r="D8" s="873">
        <v>0</v>
      </c>
      <c r="E8" s="873">
        <v>0</v>
      </c>
      <c r="F8" s="873">
        <v>0</v>
      </c>
      <c r="G8" s="873">
        <v>0</v>
      </c>
      <c r="H8" s="873">
        <v>0</v>
      </c>
      <c r="I8" s="874">
        <v>0</v>
      </c>
      <c r="J8" s="875"/>
      <c r="K8" s="876">
        <f t="shared" si="0"/>
        <v>0</v>
      </c>
      <c r="L8" s="2269"/>
    </row>
    <row r="9" spans="1:12" s="647" customFormat="1" x14ac:dyDescent="0.35">
      <c r="A9" s="871" t="s">
        <v>676</v>
      </c>
      <c r="B9" s="872"/>
      <c r="C9" s="877"/>
      <c r="D9" s="873">
        <v>0</v>
      </c>
      <c r="E9" s="873">
        <v>0</v>
      </c>
      <c r="F9" s="873">
        <v>0</v>
      </c>
      <c r="G9" s="873">
        <v>0</v>
      </c>
      <c r="H9" s="873">
        <v>0</v>
      </c>
      <c r="I9" s="874">
        <v>0</v>
      </c>
      <c r="J9" s="875"/>
      <c r="K9" s="876">
        <f t="shared" si="0"/>
        <v>0</v>
      </c>
      <c r="L9" s="2269"/>
    </row>
    <row r="10" spans="1:12" s="647" customFormat="1" x14ac:dyDescent="0.35">
      <c r="A10" s="871" t="s">
        <v>677</v>
      </c>
      <c r="B10" s="872"/>
      <c r="C10" s="877"/>
      <c r="D10" s="878"/>
      <c r="E10" s="873">
        <v>0</v>
      </c>
      <c r="F10" s="873">
        <v>0</v>
      </c>
      <c r="G10" s="873">
        <v>0</v>
      </c>
      <c r="H10" s="873">
        <v>0</v>
      </c>
      <c r="I10" s="874">
        <v>0</v>
      </c>
      <c r="J10" s="875"/>
      <c r="K10" s="876">
        <f t="shared" si="0"/>
        <v>0</v>
      </c>
      <c r="L10" s="2269"/>
    </row>
    <row r="11" spans="1:12" s="647" customFormat="1" x14ac:dyDescent="0.35">
      <c r="A11" s="871" t="s">
        <v>678</v>
      </c>
      <c r="B11" s="872"/>
      <c r="C11" s="877"/>
      <c r="D11" s="877"/>
      <c r="E11" s="877"/>
      <c r="F11" s="873">
        <v>0</v>
      </c>
      <c r="G11" s="873">
        <v>0</v>
      </c>
      <c r="H11" s="873">
        <v>0</v>
      </c>
      <c r="I11" s="874">
        <v>0</v>
      </c>
      <c r="J11" s="875"/>
      <c r="K11" s="876">
        <f t="shared" si="0"/>
        <v>0</v>
      </c>
      <c r="L11" s="2269"/>
    </row>
    <row r="12" spans="1:12" s="647" customFormat="1" x14ac:dyDescent="0.35">
      <c r="A12" s="871" t="s">
        <v>679</v>
      </c>
      <c r="B12" s="872"/>
      <c r="C12" s="877"/>
      <c r="D12" s="877"/>
      <c r="E12" s="877"/>
      <c r="F12" s="877"/>
      <c r="G12" s="873">
        <v>0</v>
      </c>
      <c r="H12" s="873">
        <v>0</v>
      </c>
      <c r="I12" s="874">
        <v>0</v>
      </c>
      <c r="J12" s="875"/>
      <c r="K12" s="876">
        <f t="shared" si="0"/>
        <v>0</v>
      </c>
      <c r="L12" s="2269"/>
    </row>
    <row r="13" spans="1:12" s="647" customFormat="1" x14ac:dyDescent="0.35">
      <c r="A13" s="871" t="s">
        <v>680</v>
      </c>
      <c r="B13" s="872"/>
      <c r="C13" s="877"/>
      <c r="D13" s="877"/>
      <c r="E13" s="877"/>
      <c r="F13" s="877"/>
      <c r="G13" s="877"/>
      <c r="H13" s="873">
        <v>0</v>
      </c>
      <c r="I13" s="874">
        <v>0</v>
      </c>
      <c r="J13" s="875"/>
      <c r="K13" s="876">
        <f t="shared" si="0"/>
        <v>0</v>
      </c>
      <c r="L13" s="2269"/>
    </row>
    <row r="14" spans="1:12" s="647" customFormat="1" ht="15" thickBot="1" x14ac:dyDescent="0.4">
      <c r="A14" s="879" t="s">
        <v>681</v>
      </c>
      <c r="B14" s="880"/>
      <c r="C14" s="881"/>
      <c r="D14" s="881"/>
      <c r="E14" s="881"/>
      <c r="F14" s="881"/>
      <c r="G14" s="881"/>
      <c r="H14" s="881"/>
      <c r="I14" s="882">
        <v>0</v>
      </c>
      <c r="J14" s="883"/>
      <c r="K14" s="884">
        <f t="shared" si="0"/>
        <v>0</v>
      </c>
      <c r="L14" s="2270"/>
    </row>
    <row r="15" spans="1:12" s="647" customFormat="1" x14ac:dyDescent="0.35">
      <c r="A15" s="885" t="s">
        <v>684</v>
      </c>
      <c r="B15" s="1946">
        <v>0</v>
      </c>
      <c r="C15" s="1947">
        <v>0</v>
      </c>
      <c r="D15" s="1947">
        <v>0</v>
      </c>
      <c r="E15" s="1947">
        <v>0</v>
      </c>
      <c r="F15" s="1947">
        <v>0</v>
      </c>
      <c r="G15" s="1947">
        <v>0</v>
      </c>
      <c r="H15" s="1947">
        <v>0</v>
      </c>
      <c r="I15" s="1948">
        <v>0</v>
      </c>
      <c r="J15" s="1949"/>
      <c r="K15" s="1950"/>
      <c r="L15" s="887"/>
    </row>
    <row r="16" spans="1:12" s="647" customFormat="1" x14ac:dyDescent="0.35">
      <c r="A16" s="888" t="s">
        <v>685</v>
      </c>
      <c r="B16" s="889">
        <f t="shared" ref="B16:I16" si="1">SUM(B7:B14)+B15</f>
        <v>0</v>
      </c>
      <c r="C16" s="890">
        <f t="shared" si="1"/>
        <v>0</v>
      </c>
      <c r="D16" s="890">
        <f t="shared" si="1"/>
        <v>0</v>
      </c>
      <c r="E16" s="890">
        <f t="shared" si="1"/>
        <v>0</v>
      </c>
      <c r="F16" s="890">
        <f t="shared" si="1"/>
        <v>0</v>
      </c>
      <c r="G16" s="890">
        <f t="shared" si="1"/>
        <v>0</v>
      </c>
      <c r="H16" s="890">
        <f t="shared" si="1"/>
        <v>0</v>
      </c>
      <c r="I16" s="891">
        <f t="shared" si="1"/>
        <v>0</v>
      </c>
      <c r="J16" s="892">
        <v>0</v>
      </c>
      <c r="K16" s="876">
        <f>SUM(B16:J16)</f>
        <v>0</v>
      </c>
      <c r="L16" s="887"/>
    </row>
    <row r="17" spans="1:12" x14ac:dyDescent="0.35">
      <c r="A17" s="871" t="s">
        <v>686</v>
      </c>
      <c r="B17" s="893"/>
      <c r="C17" s="894">
        <v>0</v>
      </c>
      <c r="D17" s="894">
        <v>0</v>
      </c>
      <c r="E17" s="894">
        <v>0</v>
      </c>
      <c r="F17" s="894">
        <v>0</v>
      </c>
      <c r="G17" s="894">
        <v>0</v>
      </c>
      <c r="H17" s="894">
        <v>0</v>
      </c>
      <c r="I17" s="895">
        <v>0</v>
      </c>
      <c r="J17" s="896"/>
      <c r="K17" s="876">
        <f>SUM(B17:J17)</f>
        <v>0</v>
      </c>
      <c r="L17" s="887"/>
    </row>
    <row r="18" spans="1:12" x14ac:dyDescent="0.35">
      <c r="A18" s="871" t="s">
        <v>687</v>
      </c>
      <c r="B18" s="894">
        <v>0</v>
      </c>
      <c r="C18" s="894">
        <v>0</v>
      </c>
      <c r="D18" s="894">
        <v>0</v>
      </c>
      <c r="E18" s="894">
        <v>0</v>
      </c>
      <c r="F18" s="894">
        <v>0</v>
      </c>
      <c r="G18" s="894">
        <v>0</v>
      </c>
      <c r="H18" s="894">
        <v>0</v>
      </c>
      <c r="I18" s="895">
        <v>0</v>
      </c>
      <c r="J18" s="897"/>
      <c r="K18" s="898"/>
      <c r="L18" s="887"/>
    </row>
    <row r="19" spans="1:12" x14ac:dyDescent="0.35">
      <c r="A19" s="871" t="s">
        <v>688</v>
      </c>
      <c r="B19" s="899">
        <v>0</v>
      </c>
      <c r="C19" s="894">
        <v>0</v>
      </c>
      <c r="D19" s="894">
        <v>0</v>
      </c>
      <c r="E19" s="894">
        <v>0</v>
      </c>
      <c r="F19" s="894">
        <v>0</v>
      </c>
      <c r="G19" s="894">
        <v>0</v>
      </c>
      <c r="H19" s="894">
        <v>0</v>
      </c>
      <c r="I19" s="895">
        <v>0</v>
      </c>
      <c r="J19" s="886"/>
      <c r="K19" s="898"/>
      <c r="L19" s="887"/>
    </row>
    <row r="20" spans="1:12" x14ac:dyDescent="0.35">
      <c r="A20" s="888" t="s">
        <v>689</v>
      </c>
      <c r="B20" s="900">
        <f>SUM(B16:B19)</f>
        <v>0</v>
      </c>
      <c r="C20" s="901">
        <f t="shared" ref="C20:I21" si="2">SUM(C16:C19)</f>
        <v>0</v>
      </c>
      <c r="D20" s="901">
        <f t="shared" si="2"/>
        <v>0</v>
      </c>
      <c r="E20" s="901">
        <f t="shared" si="2"/>
        <v>0</v>
      </c>
      <c r="F20" s="901">
        <f t="shared" si="2"/>
        <v>0</v>
      </c>
      <c r="G20" s="901">
        <f t="shared" si="2"/>
        <v>0</v>
      </c>
      <c r="H20" s="901">
        <f t="shared" si="2"/>
        <v>0</v>
      </c>
      <c r="I20" s="902">
        <f>SUM(I16:I19)</f>
        <v>0</v>
      </c>
      <c r="J20" s="876">
        <f>SUM(J16:J19)</f>
        <v>0</v>
      </c>
      <c r="K20" s="876">
        <f>SUM(B20:J20)</f>
        <v>0</v>
      </c>
      <c r="L20" s="887"/>
    </row>
    <row r="21" spans="1:12" ht="15" thickBot="1" x14ac:dyDescent="0.4">
      <c r="A21" s="903" t="s">
        <v>690</v>
      </c>
      <c r="B21" s="904">
        <f>B20-B16</f>
        <v>0</v>
      </c>
      <c r="C21" s="905">
        <f t="shared" ref="C21:K21" si="3">C20-C16</f>
        <v>0</v>
      </c>
      <c r="D21" s="905">
        <f t="shared" si="3"/>
        <v>0</v>
      </c>
      <c r="E21" s="905">
        <f t="shared" si="3"/>
        <v>0</v>
      </c>
      <c r="F21" s="905">
        <f t="shared" si="3"/>
        <v>0</v>
      </c>
      <c r="G21" s="905">
        <f t="shared" si="3"/>
        <v>0</v>
      </c>
      <c r="H21" s="905">
        <f t="shared" si="3"/>
        <v>0</v>
      </c>
      <c r="I21" s="1951">
        <f t="shared" si="2"/>
        <v>0</v>
      </c>
      <c r="J21" s="1980">
        <f t="shared" si="3"/>
        <v>0</v>
      </c>
      <c r="K21" s="884">
        <f t="shared" si="3"/>
        <v>0</v>
      </c>
      <c r="L21" s="887"/>
    </row>
    <row r="22" spans="1:12" x14ac:dyDescent="0.35">
      <c r="A22" s="906" t="s">
        <v>691</v>
      </c>
      <c r="B22" s="21"/>
      <c r="C22" s="21"/>
      <c r="D22" s="21"/>
      <c r="E22" s="21"/>
      <c r="F22" s="21"/>
      <c r="G22" s="21"/>
      <c r="H22" s="21"/>
      <c r="I22" s="21"/>
      <c r="J22" s="907"/>
      <c r="K22" s="906"/>
      <c r="L22" s="906"/>
    </row>
    <row r="24" spans="1:12" ht="15" thickBot="1" x14ac:dyDescent="0.4">
      <c r="A24" s="908" t="s">
        <v>50</v>
      </c>
    </row>
    <row r="25" spans="1:12" x14ac:dyDescent="0.35">
      <c r="A25" s="526" t="s">
        <v>692</v>
      </c>
      <c r="B25" s="909"/>
      <c r="C25" s="910"/>
      <c r="D25" s="527"/>
    </row>
    <row r="26" spans="1:12" x14ac:dyDescent="0.35">
      <c r="A26" s="2275" t="s">
        <v>693</v>
      </c>
      <c r="B26" s="2276"/>
      <c r="C26" s="2276"/>
      <c r="D26" s="911" cm="1">
        <f t="array" ref="D26">IF($B$3="mm/dd/yyyy",0,_xlfn.XLOOKUP($B$3,_xlfn.CHOOSECOLS('FS-Income Statement 3.05'!$C$5:$Q$5,3,7,11,15),_xlfn.XLOOKUP("TOTAL INSTITUTIONAL CARE",'FS-Income Statement 3.05'!$B$7:$B$203,_xlfn.CHOOSECOLS('FS-Income Statement 3.05'!$C$7:$Q$203,3,7,11,15))))</f>
        <v>0</v>
      </c>
    </row>
    <row r="27" spans="1:12" x14ac:dyDescent="0.35">
      <c r="A27" s="2275" t="s">
        <v>694</v>
      </c>
      <c r="B27" s="2276"/>
      <c r="C27" s="2276"/>
      <c r="D27" s="911" cm="1">
        <f t="array" ref="D27">IF($B$3="mm/dd/yyyy",0,_xlfn.XLOOKUP($B$3,_xlfn.CHOOSECOLS('FS-Income Statement 3.05'!$C$5:$Q$5,3,7,11,15),_xlfn.XLOOKUP("Total Home &amp; Community Based Services (HCBS)",'FS-Income Statement 3.05'!$B$7:$B$203,_xlfn.CHOOSECOLS('FS-Income Statement 3.05'!$C$7:$Q$203,3,7,11,15))))</f>
        <v>0</v>
      </c>
    </row>
    <row r="28" spans="1:12" x14ac:dyDescent="0.35">
      <c r="A28" s="2279" t="s">
        <v>695</v>
      </c>
      <c r="B28" s="2280"/>
      <c r="C28" s="2280"/>
      <c r="D28" s="911" cm="1">
        <f t="array" ref="D28">IF($B$3="mm/dd/yyyy",0,_xlfn.XLOOKUP($B$3,_xlfn.CHOOSECOLS('FS-Income Statement 3.05'!$C$5:$Q$5,3,7,11,15),_xlfn.XLOOKUP("TOTAL ACUTE CARE",'FS-Income Statement 3.05'!$B$7:$B$203,_xlfn.CHOOSECOLS('FS-Income Statement 3.05'!$C$7:$Q$203,3,7,11,15))))</f>
        <v>0</v>
      </c>
    </row>
    <row r="29" spans="1:12" x14ac:dyDescent="0.35">
      <c r="A29" s="2279" t="s">
        <v>696</v>
      </c>
      <c r="B29" s="2280"/>
      <c r="C29" s="2280"/>
      <c r="D29" s="911" cm="1">
        <f t="array" ref="D29">IF($B$3="mm/dd/yyyy",0,_xlfn.XLOOKUP($B$3,_xlfn.CHOOSECOLS('FS-Income Statement 3.05'!$C$5:$Q$5,3,7,11,15),_xlfn.XLOOKUP("TOTAL OTHER MEDICAL EXPENSES",'FS-Income Statement 3.05'!$B$7:$B$203,_xlfn.CHOOSECOLS('FS-Income Statement 3.05'!$C$7:$Q$203,3,7,11,15))))</f>
        <v>0</v>
      </c>
      <c r="H29" s="912"/>
    </row>
    <row r="30" spans="1:12" x14ac:dyDescent="0.35">
      <c r="A30" s="2271" t="s">
        <v>697</v>
      </c>
      <c r="B30" s="2272"/>
      <c r="C30" s="2272"/>
      <c r="D30" s="913">
        <f>SUM(D26:D29)</f>
        <v>0</v>
      </c>
    </row>
    <row r="31" spans="1:12" x14ac:dyDescent="0.35">
      <c r="A31" s="2277" t="s">
        <v>698</v>
      </c>
      <c r="B31" s="2278"/>
      <c r="C31" s="2278"/>
      <c r="D31" s="914" cm="1">
        <f t="array" ref="D31">IF($B$3="mm/dd/yyyy",0,_xlfn.XLOOKUP($B$3,_xlfn.CHOOSECOLS('FS-Income Statement 3.05'!$C$5:$Q$5,3,7,11,15),_xlfn.XLOOKUP("Alternative Payment Model Performance Based Payments to Providers",'FS-Income Statement 3.05'!$B$7:$B$203,_xlfn.CHOOSECOLS('FS-Income Statement 3.05'!$C$7:$Q$203,3,7,11,15))))</f>
        <v>0</v>
      </c>
    </row>
    <row r="32" spans="1:12" x14ac:dyDescent="0.35">
      <c r="A32" s="2277" t="s">
        <v>699</v>
      </c>
      <c r="B32" s="2278"/>
      <c r="C32" s="2278"/>
      <c r="D32" s="915">
        <f>'Sub Cap &amp; Block Expense 4.11'!E39</f>
        <v>0</v>
      </c>
    </row>
    <row r="33" spans="1:4" x14ac:dyDescent="0.35">
      <c r="A33" s="2271" t="s">
        <v>700</v>
      </c>
      <c r="B33" s="2272"/>
      <c r="C33" s="2272"/>
      <c r="D33" s="913">
        <f>D30-D31-D32</f>
        <v>0</v>
      </c>
    </row>
    <row r="34" spans="1:4" x14ac:dyDescent="0.35">
      <c r="A34" s="2277" t="s">
        <v>701</v>
      </c>
      <c r="B34" s="2278"/>
      <c r="C34" s="2278"/>
      <c r="D34" s="915">
        <f>B20</f>
        <v>0</v>
      </c>
    </row>
    <row r="35" spans="1:4" ht="15" thickBot="1" x14ac:dyDescent="0.4">
      <c r="A35" s="2273" t="s">
        <v>702</v>
      </c>
      <c r="B35" s="2274"/>
      <c r="C35" s="2274"/>
      <c r="D35" s="916">
        <f>D33-D34</f>
        <v>0</v>
      </c>
    </row>
    <row r="36" spans="1:4" s="21" customFormat="1" x14ac:dyDescent="0.35">
      <c r="D36" s="857"/>
    </row>
    <row r="37" spans="1:4" ht="15" thickBot="1" x14ac:dyDescent="0.4">
      <c r="A37" s="908" t="s">
        <v>50</v>
      </c>
      <c r="D37" s="847"/>
    </row>
    <row r="38" spans="1:4" x14ac:dyDescent="0.35">
      <c r="A38" s="526" t="s">
        <v>703</v>
      </c>
      <c r="B38" s="909"/>
      <c r="C38" s="910"/>
      <c r="D38" s="917"/>
    </row>
    <row r="39" spans="1:4" x14ac:dyDescent="0.35">
      <c r="A39" s="2275" t="s">
        <v>704</v>
      </c>
      <c r="B39" s="2276"/>
      <c r="C39" s="2276"/>
      <c r="D39" s="911" cm="1">
        <f t="array" ref="D39">IF($B$3="mm/dd/yyyy",0,_xlfn.XLOOKUP($B$3,'FS-Balance Sheet 3.04'!$C$5:$F$5,_xlfn.XLOOKUP("Medical Claims Payable",'FS-Balance Sheet 3.04'!$B$9:$B$150,'FS-Balance Sheet 3.04'!$C$9:$F$150)))</f>
        <v>0</v>
      </c>
    </row>
    <row r="40" spans="1:4" x14ac:dyDescent="0.35">
      <c r="A40" s="2275" t="s">
        <v>705</v>
      </c>
      <c r="B40" s="2276"/>
      <c r="C40" s="2276"/>
      <c r="D40" s="918">
        <f>K21</f>
        <v>0</v>
      </c>
    </row>
    <row r="41" spans="1:4" ht="15" thickBot="1" x14ac:dyDescent="0.4">
      <c r="A41" s="2273" t="s">
        <v>706</v>
      </c>
      <c r="B41" s="2274"/>
      <c r="C41" s="2274"/>
      <c r="D41" s="919">
        <f>D39-D40</f>
        <v>0</v>
      </c>
    </row>
  </sheetData>
  <mergeCells count="15">
    <mergeCell ref="B5:J5"/>
    <mergeCell ref="L7:L14"/>
    <mergeCell ref="A30:C30"/>
    <mergeCell ref="A41:C41"/>
    <mergeCell ref="A40:C40"/>
    <mergeCell ref="A39:C39"/>
    <mergeCell ref="A35:C35"/>
    <mergeCell ref="A34:C34"/>
    <mergeCell ref="A33:C33"/>
    <mergeCell ref="A32:C32"/>
    <mergeCell ref="A31:C31"/>
    <mergeCell ref="A29:C29"/>
    <mergeCell ref="A28:C28"/>
    <mergeCell ref="A27:C27"/>
    <mergeCell ref="A26:C26"/>
  </mergeCells>
  <pageMargins left="0.22" right="0.17" top="0.3" bottom="1" header="0.17" footer="0.5"/>
  <pageSetup scale="71" orientation="portrait" r:id="rId1"/>
  <headerFooter alignWithMargins="0">
    <oddFooter>&amp;L&amp;Z&amp;F&amp;A</oddFooter>
  </headerFooter>
  <ignoredErrors>
    <ignoredError sqref="D30"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A058-5E15-4233-A59A-0B9F92787286}">
  <sheetPr syncVertical="1" syncRef="A1" transitionEvaluation="1">
    <pageSetUpPr fitToPage="1"/>
  </sheetPr>
  <dimension ref="A1:E51"/>
  <sheetViews>
    <sheetView showGridLines="0" zoomScaleNormal="100" zoomScaleSheetLayoutView="75" workbookViewId="0">
      <selection activeCell="E20" sqref="E20"/>
    </sheetView>
  </sheetViews>
  <sheetFormatPr defaultColWidth="12.54296875" defaultRowHeight="14.5" x14ac:dyDescent="0.35"/>
  <cols>
    <col min="1" max="1" width="17.7265625" style="767" customWidth="1"/>
    <col min="2" max="2" width="75.7265625" style="400" customWidth="1"/>
    <col min="3" max="3" width="15.7265625" style="847" customWidth="1"/>
    <col min="4" max="4" width="17.81640625" style="400" bestFit="1" customWidth="1"/>
    <col min="5" max="5" width="63.54296875" style="400" customWidth="1"/>
    <col min="6" max="16384" width="12.54296875" style="400"/>
  </cols>
  <sheetData>
    <row r="1" spans="1:5" ht="15" thickBot="1" x14ac:dyDescent="0.4">
      <c r="A1" s="1535" t="s">
        <v>707</v>
      </c>
      <c r="B1" s="1536"/>
      <c r="C1" s="1537"/>
    </row>
    <row r="2" spans="1:5" x14ac:dyDescent="0.35">
      <c r="A2" s="597" t="s">
        <v>45</v>
      </c>
      <c r="B2" s="23" t="str">
        <f>'Instruction &amp; Audit Report B '!C20</f>
        <v>Select Contractor Name</v>
      </c>
    </row>
    <row r="3" spans="1:5" x14ac:dyDescent="0.35">
      <c r="A3" s="597" t="s">
        <v>708</v>
      </c>
      <c r="B3" s="40" t="str">
        <f>'FS-Balance Sheet 3.04'!B5</f>
        <v>mm/dd/yyyy</v>
      </c>
    </row>
    <row r="4" spans="1:5" ht="15" thickBot="1" x14ac:dyDescent="0.4">
      <c r="A4" s="722"/>
      <c r="B4" s="525"/>
      <c r="D4" s="848" t="s">
        <v>616</v>
      </c>
    </row>
    <row r="5" spans="1:5" ht="15" thickBot="1" x14ac:dyDescent="0.4">
      <c r="A5" s="2263" t="s">
        <v>709</v>
      </c>
      <c r="B5" s="2264"/>
      <c r="C5" s="1773" t="s">
        <v>457</v>
      </c>
      <c r="D5" s="1430" t="s">
        <v>66</v>
      </c>
    </row>
    <row r="6" spans="1:5" ht="15" thickBot="1" x14ac:dyDescent="0.4">
      <c r="A6" s="1869" t="s">
        <v>710</v>
      </c>
      <c r="B6" s="1870"/>
      <c r="C6" s="1871"/>
      <c r="D6" s="1735" t="s">
        <v>618</v>
      </c>
    </row>
    <row r="7" spans="1:5" x14ac:dyDescent="0.35">
      <c r="A7" s="1868"/>
      <c r="B7" s="1385"/>
      <c r="C7" s="1771">
        <v>0</v>
      </c>
      <c r="D7" s="746"/>
    </row>
    <row r="8" spans="1:5" x14ac:dyDescent="0.35">
      <c r="A8" s="849"/>
      <c r="B8" s="1772"/>
      <c r="C8" s="1771">
        <v>0</v>
      </c>
      <c r="D8" s="751"/>
    </row>
    <row r="9" spans="1:5" x14ac:dyDescent="0.35">
      <c r="A9" s="849"/>
      <c r="B9" s="1772"/>
      <c r="C9" s="1771">
        <v>0</v>
      </c>
      <c r="D9" s="751"/>
    </row>
    <row r="10" spans="1:5" ht="13.5" customHeight="1" thickBot="1" x14ac:dyDescent="0.4">
      <c r="A10" s="849"/>
      <c r="B10" s="1772"/>
      <c r="C10" s="1771">
        <v>0</v>
      </c>
      <c r="D10" s="758"/>
    </row>
    <row r="11" spans="1:5" ht="15" thickBot="1" x14ac:dyDescent="0.4">
      <c r="A11" s="850"/>
      <c r="B11" s="1406" t="s">
        <v>659</v>
      </c>
      <c r="C11" s="759">
        <f>SUM(C7:C10)</f>
        <v>0</v>
      </c>
      <c r="D11" s="851" cm="1">
        <f t="array" ref="D11">_xlfn.XLOOKUP($B$3,_xlfn.CHOOSECOLS('FS-Income Statement 3.05'!$C$5:$Q$5,3,7,11,15),_xlfn.XLOOKUP("40145-01",'FS-Income Statement 3.05'!$A$7:$A$203,_xlfn.CHOOSECOLS('FS-Income Statement 3.05'!$C$7:$Q$203,3,7,11,15)))</f>
        <v>0</v>
      </c>
      <c r="E11" s="400" t="str">
        <f>IF(OR(C11=0,D11=0),"",IF(ROUND(C11,2)&lt;&gt;ROUND(D11,2),"Total Amount does not match the Income Statement. Correction Required",""))</f>
        <v/>
      </c>
    </row>
    <row r="12" spans="1:5" ht="15" thickBot="1" x14ac:dyDescent="0.4">
      <c r="A12" s="1869" t="s">
        <v>711</v>
      </c>
      <c r="B12" s="1870"/>
      <c r="C12" s="1871"/>
      <c r="D12" s="746"/>
    </row>
    <row r="13" spans="1:5" x14ac:dyDescent="0.35">
      <c r="A13" s="849"/>
      <c r="B13" s="1772"/>
      <c r="C13" s="1771">
        <v>0</v>
      </c>
      <c r="D13" s="751"/>
    </row>
    <row r="14" spans="1:5" x14ac:dyDescent="0.35">
      <c r="A14" s="849"/>
      <c r="B14" s="1772"/>
      <c r="C14" s="1771">
        <v>0</v>
      </c>
      <c r="D14" s="751"/>
    </row>
    <row r="15" spans="1:5" x14ac:dyDescent="0.35">
      <c r="A15" s="849"/>
      <c r="B15" s="1772"/>
      <c r="C15" s="1771">
        <v>0</v>
      </c>
      <c r="D15" s="751"/>
    </row>
    <row r="16" spans="1:5" ht="13.5" customHeight="1" thickBot="1" x14ac:dyDescent="0.4">
      <c r="A16" s="849"/>
      <c r="B16" s="1772"/>
      <c r="C16" s="1771">
        <v>0</v>
      </c>
      <c r="D16" s="758"/>
    </row>
    <row r="17" spans="1:5" x14ac:dyDescent="0.35">
      <c r="A17" s="852"/>
      <c r="B17" s="1409" t="s">
        <v>659</v>
      </c>
      <c r="C17" s="1407">
        <f>SUM(C13:C16)</f>
        <v>0</v>
      </c>
      <c r="D17" s="853" cm="1">
        <f t="array" ref="D17">_xlfn.XLOOKUP($B$3,_xlfn.CHOOSECOLS('FS-Income Statement 3.05'!$C$5:$Q$5,3,7,11,15),_xlfn.XLOOKUP("40310-01",'FS-Income Statement 3.05'!$A$7:$A$203,_xlfn.CHOOSECOLS('FS-Income Statement 3.05'!$C$7:$Q$203,3,7,11,15)))</f>
        <v>0</v>
      </c>
      <c r="E17" s="400" t="str">
        <f>IF(OR(C17=0,D17=0),"",IF(ROUND(C17,2)&lt;&gt;ROUND(D17,2),"Total Amount does not match the Income Statement. Correction Required",""))</f>
        <v/>
      </c>
    </row>
    <row r="18" spans="1:5" ht="15" thickBot="1" x14ac:dyDescent="0.4">
      <c r="A18" s="854"/>
      <c r="B18" s="855" t="s">
        <v>663</v>
      </c>
      <c r="C18" s="856">
        <f>C11+C17</f>
        <v>0</v>
      </c>
      <c r="D18" s="851">
        <f>D11+D17</f>
        <v>0</v>
      </c>
    </row>
    <row r="19" spans="1:5" s="21" customFormat="1" ht="15" thickBot="1" x14ac:dyDescent="0.4">
      <c r="C19" s="857"/>
    </row>
    <row r="20" spans="1:5" ht="15" thickBot="1" x14ac:dyDescent="0.4">
      <c r="A20" s="2263" t="s">
        <v>712</v>
      </c>
      <c r="B20" s="2264"/>
      <c r="C20" s="1773" t="s">
        <v>457</v>
      </c>
      <c r="D20" s="1430" t="s">
        <v>66</v>
      </c>
    </row>
    <row r="21" spans="1:5" ht="15" thickBot="1" x14ac:dyDescent="0.4">
      <c r="A21" s="1869" t="s">
        <v>713</v>
      </c>
      <c r="B21" s="1870"/>
      <c r="C21" s="1871"/>
      <c r="D21" s="1431" t="s">
        <v>618</v>
      </c>
    </row>
    <row r="22" spans="1:5" x14ac:dyDescent="0.35">
      <c r="A22" s="849"/>
      <c r="B22" s="1772"/>
      <c r="C22" s="1771">
        <v>0</v>
      </c>
      <c r="D22" s="858"/>
    </row>
    <row r="23" spans="1:5" x14ac:dyDescent="0.35">
      <c r="A23" s="849"/>
      <c r="B23" s="1772"/>
      <c r="C23" s="1771">
        <v>0</v>
      </c>
      <c r="D23" s="858"/>
    </row>
    <row r="24" spans="1:5" x14ac:dyDescent="0.35">
      <c r="A24" s="849"/>
      <c r="B24" s="1772"/>
      <c r="C24" s="1771">
        <v>0</v>
      </c>
      <c r="D24" s="858"/>
    </row>
    <row r="25" spans="1:5" ht="13.5" customHeight="1" thickBot="1" x14ac:dyDescent="0.4">
      <c r="A25" s="849"/>
      <c r="B25" s="1772"/>
      <c r="C25" s="1771">
        <v>0</v>
      </c>
      <c r="D25" s="859"/>
    </row>
    <row r="26" spans="1:5" ht="15" thickBot="1" x14ac:dyDescent="0.4">
      <c r="A26" s="850"/>
      <c r="B26" s="1406" t="s">
        <v>659</v>
      </c>
      <c r="C26" s="759">
        <f>SUM(C22:C25)</f>
        <v>0</v>
      </c>
      <c r="D26" s="851" cm="1">
        <f t="array" ref="D26">_xlfn.XLOOKUP($B$3,_xlfn.CHOOSECOLS('FS-Income Statement 3.05'!$C$5:$Q$5,3,7,11,15),_xlfn.XLOOKUP("50340-01g",'FS-Income Statement 3.05'!$A$7:$A$203,_xlfn.CHOOSECOLS('FS-Income Statement 3.05'!$C$7:$Q$203,3,7,11,15)))</f>
        <v>0</v>
      </c>
      <c r="E26" s="400" t="str">
        <f>IF(OR(C26=0,D26=0),"",IF(ROUND(C26,2)&lt;&gt;ROUND(D26,2),"Total Amount does not match the Income Statement. Correction Required",""))</f>
        <v/>
      </c>
    </row>
    <row r="27" spans="1:5" ht="15" thickBot="1" x14ac:dyDescent="0.4">
      <c r="A27" s="1869" t="s">
        <v>714</v>
      </c>
      <c r="B27" s="1870"/>
      <c r="C27" s="1871"/>
      <c r="D27" s="746"/>
    </row>
    <row r="28" spans="1:5" x14ac:dyDescent="0.35">
      <c r="A28" s="849"/>
      <c r="B28" s="1772"/>
      <c r="C28" s="1771">
        <v>0</v>
      </c>
      <c r="D28" s="751"/>
    </row>
    <row r="29" spans="1:5" x14ac:dyDescent="0.35">
      <c r="A29" s="849"/>
      <c r="B29" s="1772"/>
      <c r="C29" s="1771">
        <v>0</v>
      </c>
      <c r="D29" s="751"/>
    </row>
    <row r="30" spans="1:5" x14ac:dyDescent="0.35">
      <c r="A30" s="849"/>
      <c r="B30" s="1772"/>
      <c r="C30" s="1771">
        <v>0</v>
      </c>
      <c r="D30" s="751"/>
    </row>
    <row r="31" spans="1:5" ht="13.5" customHeight="1" thickBot="1" x14ac:dyDescent="0.4">
      <c r="A31" s="849"/>
      <c r="B31" s="1772"/>
      <c r="C31" s="1771">
        <v>0</v>
      </c>
      <c r="D31" s="758"/>
    </row>
    <row r="32" spans="1:5" ht="15" thickBot="1" x14ac:dyDescent="0.4">
      <c r="A32" s="850"/>
      <c r="B32" s="1406" t="s">
        <v>659</v>
      </c>
      <c r="C32" s="759">
        <f>SUM(C28:C31)</f>
        <v>0</v>
      </c>
      <c r="D32" s="851" cm="1">
        <f t="array" ref="D32">_xlfn.XLOOKUP($B$3,_xlfn.CHOOSECOLS('FS-Income Statement 3.05'!$C$5:$Q$5,3,7,11,15),_xlfn.XLOOKUP("50340-05p",'FS-Income Statement 3.05'!$A$7:$A$203,_xlfn.CHOOSECOLS('FS-Income Statement 3.05'!$C$7:$Q$203,3,7,11,15)))</f>
        <v>0</v>
      </c>
      <c r="E32" s="400" t="str">
        <f>IF(OR(C32=0,D32=0),"",IF(ROUND(C32,2)&lt;&gt;ROUND(D32,2),"Total Amount does not match the Income Statement. Correction Required",""))</f>
        <v/>
      </c>
    </row>
    <row r="33" spans="1:5" ht="15" thickBot="1" x14ac:dyDescent="0.4">
      <c r="A33" s="1869" t="s">
        <v>715</v>
      </c>
      <c r="B33" s="1870"/>
      <c r="C33" s="1871"/>
      <c r="D33" s="746"/>
    </row>
    <row r="34" spans="1:5" x14ac:dyDescent="0.35">
      <c r="A34" s="849"/>
      <c r="B34" s="1772"/>
      <c r="C34" s="1771">
        <v>0</v>
      </c>
      <c r="D34" s="751"/>
    </row>
    <row r="35" spans="1:5" x14ac:dyDescent="0.35">
      <c r="A35" s="849"/>
      <c r="B35" s="1772"/>
      <c r="C35" s="1771">
        <v>0</v>
      </c>
      <c r="D35" s="751"/>
    </row>
    <row r="36" spans="1:5" x14ac:dyDescent="0.35">
      <c r="A36" s="849"/>
      <c r="B36" s="1772"/>
      <c r="C36" s="1771">
        <v>0</v>
      </c>
      <c r="D36" s="751"/>
    </row>
    <row r="37" spans="1:5" ht="13.5" customHeight="1" thickBot="1" x14ac:dyDescent="0.4">
      <c r="A37" s="849"/>
      <c r="B37" s="1772"/>
      <c r="C37" s="1771">
        <v>0</v>
      </c>
      <c r="D37" s="758"/>
    </row>
    <row r="38" spans="1:5" ht="15" thickBot="1" x14ac:dyDescent="0.4">
      <c r="A38" s="850"/>
      <c r="B38" s="1406" t="s">
        <v>659</v>
      </c>
      <c r="C38" s="759">
        <f>SUM(C34:C37)</f>
        <v>0</v>
      </c>
      <c r="D38" s="851" cm="1">
        <f t="array" ref="D38">_xlfn.XLOOKUP($B$3,_xlfn.CHOOSECOLS('FS-Income Statement 3.05'!$C$5:$Q$5,3,7,11,15),_xlfn.XLOOKUP("50355-25",'FS-Income Statement 3.05'!$A$7:$A$203,_xlfn.CHOOSECOLS('FS-Income Statement 3.05'!$C$7:$Q$203,3,7,11,15)))</f>
        <v>0</v>
      </c>
      <c r="E38" s="400" t="str">
        <f>IF(OR(C38=0,D38=0),"",IF(ROUND(C38,2)&lt;&gt;ROUND(D38,2),"Total Amount does not match the Income Statement. Correction Required",""))</f>
        <v/>
      </c>
    </row>
    <row r="39" spans="1:5" ht="15" thickBot="1" x14ac:dyDescent="0.4">
      <c r="A39" s="1869" t="s">
        <v>716</v>
      </c>
      <c r="B39" s="1870"/>
      <c r="C39" s="1871"/>
      <c r="D39" s="746"/>
    </row>
    <row r="40" spans="1:5" x14ac:dyDescent="0.35">
      <c r="A40" s="849"/>
      <c r="B40" s="1772"/>
      <c r="C40" s="1771">
        <v>0</v>
      </c>
      <c r="D40" s="751"/>
    </row>
    <row r="41" spans="1:5" x14ac:dyDescent="0.35">
      <c r="A41" s="849"/>
      <c r="B41" s="1772"/>
      <c r="C41" s="1771">
        <v>0</v>
      </c>
      <c r="D41" s="751"/>
    </row>
    <row r="42" spans="1:5" x14ac:dyDescent="0.35">
      <c r="A42" s="849"/>
      <c r="B42" s="1772"/>
      <c r="C42" s="1771">
        <v>0</v>
      </c>
      <c r="D42" s="751"/>
    </row>
    <row r="43" spans="1:5" ht="13.5" customHeight="1" thickBot="1" x14ac:dyDescent="0.4">
      <c r="A43" s="849"/>
      <c r="B43" s="1772"/>
      <c r="C43" s="1771">
        <v>0</v>
      </c>
      <c r="D43" s="758"/>
    </row>
    <row r="44" spans="1:5" ht="15" thickBot="1" x14ac:dyDescent="0.4">
      <c r="A44" s="850"/>
      <c r="B44" s="1406" t="s">
        <v>659</v>
      </c>
      <c r="C44" s="759">
        <f>SUM(C40:C43)</f>
        <v>0</v>
      </c>
      <c r="D44" s="851" cm="1">
        <f t="array" ref="D44">_xlfn.XLOOKUP($B$3,_xlfn.CHOOSECOLS('FS-Income Statement 3.05'!$C$5:$Q$5,3,7,11,15),_xlfn.XLOOKUP("50370-01",'FS-Income Statement 3.05'!$A$7:$A$203,_xlfn.CHOOSECOLS('FS-Income Statement 3.05'!$C$7:$Q$203,3,7,11,15)))</f>
        <v>0</v>
      </c>
      <c r="E44" s="400" t="str">
        <f>IF(OR(C44=0,D44=0),"",IF(ROUND(C44,2)&lt;&gt;ROUND(D44,2),"Total Amount does not match the Income Statement. Correction Required",""))</f>
        <v/>
      </c>
    </row>
    <row r="45" spans="1:5" ht="15" thickBot="1" x14ac:dyDescent="0.4">
      <c r="A45" s="1869" t="s">
        <v>717</v>
      </c>
      <c r="B45" s="1870"/>
      <c r="C45" s="1871"/>
      <c r="D45" s="746"/>
    </row>
    <row r="46" spans="1:5" x14ac:dyDescent="0.35">
      <c r="A46" s="1868"/>
      <c r="B46" s="1385"/>
      <c r="C46" s="1771">
        <v>0</v>
      </c>
      <c r="D46" s="751"/>
    </row>
    <row r="47" spans="1:5" x14ac:dyDescent="0.35">
      <c r="A47" s="849"/>
      <c r="B47" s="1772"/>
      <c r="C47" s="1771">
        <v>0</v>
      </c>
      <c r="D47" s="751"/>
    </row>
    <row r="48" spans="1:5" x14ac:dyDescent="0.35">
      <c r="A48" s="849"/>
      <c r="B48" s="1772"/>
      <c r="C48" s="1771">
        <v>0</v>
      </c>
      <c r="D48" s="751"/>
    </row>
    <row r="49" spans="1:5" ht="13.5" customHeight="1" thickBot="1" x14ac:dyDescent="0.4">
      <c r="A49" s="849"/>
      <c r="B49" s="1772"/>
      <c r="C49" s="1771">
        <v>0</v>
      </c>
      <c r="D49" s="758"/>
    </row>
    <row r="50" spans="1:5" x14ac:dyDescent="0.35">
      <c r="A50" s="852"/>
      <c r="B50" s="1409" t="s">
        <v>659</v>
      </c>
      <c r="C50" s="1407">
        <f>SUM(C46:C49)</f>
        <v>0</v>
      </c>
      <c r="D50" s="853" cm="1">
        <f t="array" ref="D50">_xlfn.XLOOKUP($B$3,_xlfn.CHOOSECOLS('FS-Income Statement 3.05'!$C$5:$Q$5,3,7,11,15),_xlfn.XLOOKUP("83005-01",'FS-Income Statement 3.05'!$A$7:$A$203,_xlfn.CHOOSECOLS('FS-Income Statement 3.05'!$C$7:$Q$203,3,7,11,15)))</f>
        <v>0</v>
      </c>
      <c r="E50" s="400" t="str">
        <f>IF(OR(C50=0,D50=0),"",IF(ROUND(C50,2)&lt;&gt;ROUND(D50,2),"Total Amount does not match the Income Statement. Correction Required",""))</f>
        <v/>
      </c>
    </row>
    <row r="51" spans="1:5" ht="15" thickBot="1" x14ac:dyDescent="0.4">
      <c r="A51" s="860"/>
      <c r="B51" s="1775" t="s">
        <v>663</v>
      </c>
      <c r="C51" s="777">
        <f>C26+C32+C38+C44+C50</f>
        <v>0</v>
      </c>
      <c r="D51" s="851">
        <f>D26+D32+D38+D44+D50</f>
        <v>0</v>
      </c>
    </row>
  </sheetData>
  <mergeCells count="2">
    <mergeCell ref="A5:B5"/>
    <mergeCell ref="A20:B20"/>
  </mergeCells>
  <conditionalFormatting sqref="E11">
    <cfRule type="containsText" dxfId="19" priority="12" operator="containsText" text="Correction Required">
      <formula>NOT(ISERROR(SEARCH("Correction Required",E11)))</formula>
    </cfRule>
  </conditionalFormatting>
  <conditionalFormatting sqref="E17">
    <cfRule type="containsText" dxfId="18" priority="6" operator="containsText" text="Correction Required">
      <formula>NOT(ISERROR(SEARCH("Correction Required",E17)))</formula>
    </cfRule>
  </conditionalFormatting>
  <conditionalFormatting sqref="E26">
    <cfRule type="containsText" dxfId="17" priority="5" operator="containsText" text="Correction Required">
      <formula>NOT(ISERROR(SEARCH("Correction Required",E26)))</formula>
    </cfRule>
  </conditionalFormatting>
  <conditionalFormatting sqref="E32">
    <cfRule type="containsText" dxfId="16" priority="4" operator="containsText" text="Correction Required">
      <formula>NOT(ISERROR(SEARCH("Correction Required",E32)))</formula>
    </cfRule>
  </conditionalFormatting>
  <conditionalFormatting sqref="E38">
    <cfRule type="containsText" dxfId="15" priority="3" operator="containsText" text="Correction Required">
      <formula>NOT(ISERROR(SEARCH("Correction Required",E38)))</formula>
    </cfRule>
  </conditionalFormatting>
  <conditionalFormatting sqref="E44">
    <cfRule type="containsText" dxfId="14" priority="2" operator="containsText" text="Correction Required">
      <formula>NOT(ISERROR(SEARCH("Correction Required",E44)))</formula>
    </cfRule>
  </conditionalFormatting>
  <conditionalFormatting sqref="E50">
    <cfRule type="containsText" dxfId="13" priority="1" operator="containsText" text="Correction Required">
      <formula>NOT(ISERROR(SEARCH("Correction Required",E50)))</formula>
    </cfRule>
  </conditionalFormatting>
  <printOptions gridLinesSet="0"/>
  <pageMargins left="0.22" right="0.17" top="0.3" bottom="1" header="0.17" footer="0.5"/>
  <pageSetup scale="78" orientation="portrait" r:id="rId1"/>
  <headerFooter alignWithMargins="0">
    <oddFooter>&amp;L&amp;Z&amp;F&amp;A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5C09-4915-4702-91CD-97B04FB0203F}">
  <sheetPr syncVertical="1" syncRef="A1" transitionEvaluation="1">
    <pageSetUpPr fitToPage="1"/>
  </sheetPr>
  <dimension ref="B1:O99"/>
  <sheetViews>
    <sheetView showGridLines="0" zoomScaleNormal="100" zoomScaleSheetLayoutView="75" workbookViewId="0">
      <selection activeCell="G99" sqref="G99"/>
    </sheetView>
  </sheetViews>
  <sheetFormatPr defaultColWidth="12.54296875" defaultRowHeight="14.5" x14ac:dyDescent="0.35"/>
  <cols>
    <col min="1" max="1" width="0.81640625" style="400" customWidth="1"/>
    <col min="2" max="2" width="61.26953125" style="767" customWidth="1"/>
    <col min="3" max="3" width="24.81640625" style="400" customWidth="1"/>
    <col min="4" max="4" width="25.1796875" style="721" customWidth="1"/>
    <col min="5" max="5" width="20.1796875" style="400" customWidth="1"/>
    <col min="6" max="10" width="19.54296875" style="400" customWidth="1"/>
    <col min="11" max="14" width="12.54296875" style="400"/>
    <col min="15" max="15" width="12.54296875" style="400" hidden="1" customWidth="1"/>
    <col min="16" max="16384" width="12.54296875" style="400"/>
  </cols>
  <sheetData>
    <row r="1" spans="2:15" ht="15" thickBot="1" x14ac:dyDescent="0.4">
      <c r="B1" s="1535" t="s">
        <v>718</v>
      </c>
      <c r="C1" s="1536"/>
      <c r="D1" s="1567"/>
      <c r="E1" s="1531"/>
      <c r="F1" s="1531"/>
      <c r="G1" s="1531"/>
      <c r="H1" s="1531"/>
      <c r="I1" s="1531"/>
      <c r="J1" s="1568"/>
    </row>
    <row r="2" spans="2:15" x14ac:dyDescent="0.35">
      <c r="B2" s="720" t="s">
        <v>45</v>
      </c>
      <c r="C2" s="23" t="str">
        <f>'Instruction &amp; Audit Report B '!C20</f>
        <v>Select Contractor Name</v>
      </c>
    </row>
    <row r="3" spans="2:15" x14ac:dyDescent="0.35">
      <c r="B3" s="720" t="s">
        <v>424</v>
      </c>
      <c r="C3" s="40" t="str">
        <f>'FS-Balance Sheet 3.04'!B5</f>
        <v>mm/dd/yyyy</v>
      </c>
      <c r="O3" s="400" t="s">
        <v>532</v>
      </c>
    </row>
    <row r="4" spans="2:15" ht="15" thickBot="1" x14ac:dyDescent="0.4">
      <c r="B4" s="722"/>
      <c r="C4" s="525"/>
      <c r="O4" s="400" t="s">
        <v>719</v>
      </c>
    </row>
    <row r="5" spans="2:15" ht="15" thickBot="1" x14ac:dyDescent="0.4">
      <c r="B5" s="1696" t="s">
        <v>720</v>
      </c>
      <c r="C5" s="1697"/>
      <c r="D5" s="1698"/>
      <c r="E5" s="1699"/>
      <c r="F5" s="1569" t="s">
        <v>75</v>
      </c>
      <c r="G5" s="1570" t="s">
        <v>76</v>
      </c>
      <c r="H5" s="1570" t="s">
        <v>77</v>
      </c>
      <c r="I5" s="1570" t="s">
        <v>78</v>
      </c>
      <c r="J5" s="1952" t="s">
        <v>721</v>
      </c>
    </row>
    <row r="6" spans="2:15" ht="44" thickBot="1" x14ac:dyDescent="0.4">
      <c r="B6" s="1571" t="s">
        <v>722</v>
      </c>
      <c r="C6" s="1571" t="s">
        <v>723</v>
      </c>
      <c r="D6" s="1571" t="s">
        <v>724</v>
      </c>
      <c r="E6" s="1572" t="s">
        <v>725</v>
      </c>
      <c r="F6" s="1477" t="str">
        <f>IFERROR(EOMONTH(G6,-3),"mm/dd/yyyy")</f>
        <v>mm/dd/yyyy</v>
      </c>
      <c r="G6" s="1573" t="str">
        <f>IFERROR(EOMONTH(H6,-3),"mm/dd/yyyy")</f>
        <v>mm/dd/yyyy</v>
      </c>
      <c r="H6" s="1573" t="str">
        <f>IFERROR(EOMONTH(I6,-3),"mm/dd/yyyy")</f>
        <v>mm/dd/yyyy</v>
      </c>
      <c r="I6" s="1573" t="str">
        <f>J6</f>
        <v>mm/dd/yyyy</v>
      </c>
      <c r="J6" s="1953" t="str">
        <f>'Instruction &amp; Audit Report B '!C22</f>
        <v>mm/dd/yyyy</v>
      </c>
    </row>
    <row r="7" spans="2:15" x14ac:dyDescent="0.35">
      <c r="B7" s="723"/>
      <c r="C7" s="724"/>
      <c r="D7" s="725" t="s">
        <v>640</v>
      </c>
      <c r="E7" s="726"/>
      <c r="F7" s="727">
        <v>0</v>
      </c>
      <c r="G7" s="727">
        <v>0</v>
      </c>
      <c r="H7" s="727">
        <v>0</v>
      </c>
      <c r="I7" s="727">
        <v>0</v>
      </c>
      <c r="J7" s="728">
        <f>+F7+G7+H7+I7</f>
        <v>0</v>
      </c>
    </row>
    <row r="8" spans="2:15" x14ac:dyDescent="0.35">
      <c r="B8" s="723"/>
      <c r="C8" s="724"/>
      <c r="D8" s="729" t="s">
        <v>640</v>
      </c>
      <c r="E8" s="726"/>
      <c r="F8" s="730">
        <v>0</v>
      </c>
      <c r="G8" s="730">
        <v>0</v>
      </c>
      <c r="H8" s="730">
        <v>0</v>
      </c>
      <c r="I8" s="730">
        <v>0</v>
      </c>
      <c r="J8" s="731">
        <f t="shared" ref="J8:J26" si="0">+F8+G8+H8+I8</f>
        <v>0</v>
      </c>
    </row>
    <row r="9" spans="2:15" x14ac:dyDescent="0.35">
      <c r="B9" s="723"/>
      <c r="C9" s="724"/>
      <c r="D9" s="729" t="s">
        <v>640</v>
      </c>
      <c r="E9" s="726"/>
      <c r="F9" s="730">
        <v>0</v>
      </c>
      <c r="G9" s="730">
        <v>0</v>
      </c>
      <c r="H9" s="730">
        <v>0</v>
      </c>
      <c r="I9" s="730">
        <v>0</v>
      </c>
      <c r="J9" s="731">
        <f t="shared" si="0"/>
        <v>0</v>
      </c>
    </row>
    <row r="10" spans="2:15" x14ac:dyDescent="0.35">
      <c r="B10" s="723"/>
      <c r="C10" s="724"/>
      <c r="D10" s="729" t="s">
        <v>640</v>
      </c>
      <c r="E10" s="726"/>
      <c r="F10" s="730">
        <v>0</v>
      </c>
      <c r="G10" s="730">
        <v>0</v>
      </c>
      <c r="H10" s="730">
        <v>0</v>
      </c>
      <c r="I10" s="730">
        <v>0</v>
      </c>
      <c r="J10" s="731">
        <f t="shared" si="0"/>
        <v>0</v>
      </c>
    </row>
    <row r="11" spans="2:15" x14ac:dyDescent="0.35">
      <c r="B11" s="723"/>
      <c r="C11" s="724"/>
      <c r="D11" s="729" t="s">
        <v>640</v>
      </c>
      <c r="E11" s="726"/>
      <c r="F11" s="730">
        <v>0</v>
      </c>
      <c r="G11" s="730">
        <v>0</v>
      </c>
      <c r="H11" s="730">
        <v>0</v>
      </c>
      <c r="I11" s="730">
        <v>0</v>
      </c>
      <c r="J11" s="731">
        <f t="shared" si="0"/>
        <v>0</v>
      </c>
    </row>
    <row r="12" spans="2:15" x14ac:dyDescent="0.35">
      <c r="B12" s="723"/>
      <c r="C12" s="724"/>
      <c r="D12" s="729" t="s">
        <v>640</v>
      </c>
      <c r="E12" s="726"/>
      <c r="F12" s="730">
        <v>0</v>
      </c>
      <c r="G12" s="730">
        <v>0</v>
      </c>
      <c r="H12" s="730">
        <v>0</v>
      </c>
      <c r="I12" s="730">
        <v>0</v>
      </c>
      <c r="J12" s="731">
        <f t="shared" si="0"/>
        <v>0</v>
      </c>
    </row>
    <row r="13" spans="2:15" x14ac:dyDescent="0.35">
      <c r="B13" s="723"/>
      <c r="C13" s="724"/>
      <c r="D13" s="729" t="s">
        <v>640</v>
      </c>
      <c r="E13" s="726"/>
      <c r="F13" s="730">
        <v>0</v>
      </c>
      <c r="G13" s="730">
        <v>0</v>
      </c>
      <c r="H13" s="730">
        <v>0</v>
      </c>
      <c r="I13" s="730">
        <v>0</v>
      </c>
      <c r="J13" s="731">
        <f t="shared" si="0"/>
        <v>0</v>
      </c>
    </row>
    <row r="14" spans="2:15" x14ac:dyDescent="0.35">
      <c r="B14" s="723"/>
      <c r="C14" s="724"/>
      <c r="D14" s="729" t="s">
        <v>640</v>
      </c>
      <c r="E14" s="726"/>
      <c r="F14" s="730">
        <v>0</v>
      </c>
      <c r="G14" s="730">
        <v>0</v>
      </c>
      <c r="H14" s="730">
        <v>0</v>
      </c>
      <c r="I14" s="730">
        <v>0</v>
      </c>
      <c r="J14" s="731">
        <f t="shared" si="0"/>
        <v>0</v>
      </c>
    </row>
    <row r="15" spans="2:15" x14ac:dyDescent="0.35">
      <c r="B15" s="723"/>
      <c r="C15" s="724"/>
      <c r="D15" s="729" t="s">
        <v>640</v>
      </c>
      <c r="E15" s="726"/>
      <c r="F15" s="730">
        <v>0</v>
      </c>
      <c r="G15" s="730">
        <v>0</v>
      </c>
      <c r="H15" s="730">
        <v>0</v>
      </c>
      <c r="I15" s="730">
        <v>0</v>
      </c>
      <c r="J15" s="731">
        <f t="shared" si="0"/>
        <v>0</v>
      </c>
    </row>
    <row r="16" spans="2:15" x14ac:dyDescent="0.35">
      <c r="B16" s="723"/>
      <c r="C16" s="724"/>
      <c r="D16" s="729" t="s">
        <v>640</v>
      </c>
      <c r="E16" s="726"/>
      <c r="F16" s="730">
        <v>0</v>
      </c>
      <c r="G16" s="730">
        <v>0</v>
      </c>
      <c r="H16" s="730">
        <v>0</v>
      </c>
      <c r="I16" s="730">
        <v>0</v>
      </c>
      <c r="J16" s="731">
        <f t="shared" si="0"/>
        <v>0</v>
      </c>
    </row>
    <row r="17" spans="2:10" x14ac:dyDescent="0.35">
      <c r="B17" s="723"/>
      <c r="C17" s="724"/>
      <c r="D17" s="729" t="s">
        <v>640</v>
      </c>
      <c r="E17" s="726"/>
      <c r="F17" s="730">
        <v>0</v>
      </c>
      <c r="G17" s="730">
        <v>0</v>
      </c>
      <c r="H17" s="730">
        <v>0</v>
      </c>
      <c r="I17" s="730">
        <v>0</v>
      </c>
      <c r="J17" s="731">
        <f t="shared" si="0"/>
        <v>0</v>
      </c>
    </row>
    <row r="18" spans="2:10" x14ac:dyDescent="0.35">
      <c r="B18" s="723"/>
      <c r="C18" s="724"/>
      <c r="D18" s="729" t="s">
        <v>640</v>
      </c>
      <c r="E18" s="726"/>
      <c r="F18" s="730">
        <v>0</v>
      </c>
      <c r="G18" s="730">
        <v>0</v>
      </c>
      <c r="H18" s="730">
        <v>0</v>
      </c>
      <c r="I18" s="730">
        <v>0</v>
      </c>
      <c r="J18" s="731">
        <f t="shared" si="0"/>
        <v>0</v>
      </c>
    </row>
    <row r="19" spans="2:10" x14ac:dyDescent="0.35">
      <c r="B19" s="723"/>
      <c r="C19" s="724"/>
      <c r="D19" s="729" t="s">
        <v>640</v>
      </c>
      <c r="E19" s="726"/>
      <c r="F19" s="730">
        <v>0</v>
      </c>
      <c r="G19" s="730">
        <v>0</v>
      </c>
      <c r="H19" s="730">
        <v>0</v>
      </c>
      <c r="I19" s="730">
        <v>0</v>
      </c>
      <c r="J19" s="731">
        <f t="shared" si="0"/>
        <v>0</v>
      </c>
    </row>
    <row r="20" spans="2:10" x14ac:dyDescent="0.35">
      <c r="B20" s="723"/>
      <c r="C20" s="724"/>
      <c r="D20" s="729" t="s">
        <v>640</v>
      </c>
      <c r="E20" s="726"/>
      <c r="F20" s="730">
        <v>0</v>
      </c>
      <c r="G20" s="730">
        <v>0</v>
      </c>
      <c r="H20" s="730">
        <v>0</v>
      </c>
      <c r="I20" s="730">
        <v>0</v>
      </c>
      <c r="J20" s="731">
        <f t="shared" si="0"/>
        <v>0</v>
      </c>
    </row>
    <row r="21" spans="2:10" x14ac:dyDescent="0.35">
      <c r="B21" s="723"/>
      <c r="C21" s="724"/>
      <c r="D21" s="729" t="s">
        <v>640</v>
      </c>
      <c r="E21" s="726"/>
      <c r="F21" s="730">
        <v>0</v>
      </c>
      <c r="G21" s="730">
        <v>0</v>
      </c>
      <c r="H21" s="730">
        <v>0</v>
      </c>
      <c r="I21" s="730">
        <v>0</v>
      </c>
      <c r="J21" s="731">
        <f t="shared" si="0"/>
        <v>0</v>
      </c>
    </row>
    <row r="22" spans="2:10" x14ac:dyDescent="0.35">
      <c r="B22" s="723"/>
      <c r="C22" s="724"/>
      <c r="D22" s="729" t="s">
        <v>640</v>
      </c>
      <c r="E22" s="726"/>
      <c r="F22" s="730">
        <v>0</v>
      </c>
      <c r="G22" s="730">
        <v>0</v>
      </c>
      <c r="H22" s="730">
        <v>0</v>
      </c>
      <c r="I22" s="730">
        <v>0</v>
      </c>
      <c r="J22" s="731">
        <f t="shared" si="0"/>
        <v>0</v>
      </c>
    </row>
    <row r="23" spans="2:10" x14ac:dyDescent="0.35">
      <c r="B23" s="723"/>
      <c r="C23" s="724"/>
      <c r="D23" s="729" t="s">
        <v>640</v>
      </c>
      <c r="E23" s="726"/>
      <c r="F23" s="730">
        <v>0</v>
      </c>
      <c r="G23" s="730">
        <v>0</v>
      </c>
      <c r="H23" s="730">
        <v>0</v>
      </c>
      <c r="I23" s="730">
        <v>0</v>
      </c>
      <c r="J23" s="731">
        <f t="shared" si="0"/>
        <v>0</v>
      </c>
    </row>
    <row r="24" spans="2:10" x14ac:dyDescent="0.35">
      <c r="B24" s="723"/>
      <c r="C24" s="724"/>
      <c r="D24" s="729" t="s">
        <v>640</v>
      </c>
      <c r="E24" s="726"/>
      <c r="F24" s="730">
        <v>0</v>
      </c>
      <c r="G24" s="730">
        <v>0</v>
      </c>
      <c r="H24" s="730">
        <v>0</v>
      </c>
      <c r="I24" s="730">
        <v>0</v>
      </c>
      <c r="J24" s="731">
        <f t="shared" si="0"/>
        <v>0</v>
      </c>
    </row>
    <row r="25" spans="2:10" x14ac:dyDescent="0.35">
      <c r="B25" s="723"/>
      <c r="C25" s="724"/>
      <c r="D25" s="729" t="s">
        <v>640</v>
      </c>
      <c r="E25" s="726"/>
      <c r="F25" s="730">
        <v>0</v>
      </c>
      <c r="G25" s="730">
        <v>0</v>
      </c>
      <c r="H25" s="730">
        <v>0</v>
      </c>
      <c r="I25" s="730">
        <v>0</v>
      </c>
      <c r="J25" s="731">
        <f t="shared" si="0"/>
        <v>0</v>
      </c>
    </row>
    <row r="26" spans="2:10" ht="15" thickBot="1" x14ac:dyDescent="0.4">
      <c r="B26" s="732"/>
      <c r="C26" s="733"/>
      <c r="D26" s="734" t="s">
        <v>640</v>
      </c>
      <c r="E26" s="735"/>
      <c r="F26" s="736">
        <v>0</v>
      </c>
      <c r="G26" s="736">
        <v>0</v>
      </c>
      <c r="H26" s="736">
        <v>0</v>
      </c>
      <c r="I26" s="736">
        <v>0</v>
      </c>
      <c r="J26" s="737">
        <f t="shared" si="0"/>
        <v>0</v>
      </c>
    </row>
    <row r="27" spans="2:10" ht="15" thickBot="1" x14ac:dyDescent="0.4">
      <c r="B27" s="738"/>
      <c r="C27" s="739"/>
      <c r="D27" s="739"/>
      <c r="E27" s="740" t="s">
        <v>470</v>
      </c>
      <c r="F27" s="741">
        <f>SUM(F7:F26)</f>
        <v>0</v>
      </c>
      <c r="G27" s="741">
        <f t="shared" ref="G27:I27" si="1">SUM(G7:G26)</f>
        <v>0</v>
      </c>
      <c r="H27" s="741">
        <f t="shared" si="1"/>
        <v>0</v>
      </c>
      <c r="I27" s="741">
        <f t="shared" si="1"/>
        <v>0</v>
      </c>
      <c r="J27" s="741">
        <f>SUM(J7:J26)</f>
        <v>0</v>
      </c>
    </row>
    <row r="28" spans="2:10" ht="15" thickBot="1" x14ac:dyDescent="0.4">
      <c r="B28" s="722"/>
      <c r="C28" s="525"/>
    </row>
    <row r="29" spans="2:10" ht="15" thickBot="1" x14ac:dyDescent="0.4">
      <c r="B29" s="1696" t="s">
        <v>726</v>
      </c>
      <c r="C29" s="1699"/>
      <c r="D29" s="1574" t="s">
        <v>75</v>
      </c>
      <c r="E29" s="1575" t="s">
        <v>76</v>
      </c>
      <c r="F29" s="1575" t="s">
        <v>77</v>
      </c>
      <c r="G29" s="1575" t="s">
        <v>78</v>
      </c>
      <c r="H29" s="1954" t="s">
        <v>721</v>
      </c>
      <c r="I29" s="1430" t="s">
        <v>727</v>
      </c>
    </row>
    <row r="30" spans="2:10" ht="29.5" thickBot="1" x14ac:dyDescent="0.4">
      <c r="B30" s="1491" t="s">
        <v>728</v>
      </c>
      <c r="C30" s="1494" t="s">
        <v>725</v>
      </c>
      <c r="D30" s="1576" t="str">
        <f>F6</f>
        <v>mm/dd/yyyy</v>
      </c>
      <c r="E30" s="1576" t="str">
        <f>G6</f>
        <v>mm/dd/yyyy</v>
      </c>
      <c r="F30" s="1576" t="str">
        <f>H6</f>
        <v>mm/dd/yyyy</v>
      </c>
      <c r="G30" s="1576" t="str">
        <f>I6</f>
        <v>mm/dd/yyyy</v>
      </c>
      <c r="H30" s="1955" t="str">
        <f>J6</f>
        <v>mm/dd/yyyy</v>
      </c>
      <c r="I30" s="1431" t="s">
        <v>618</v>
      </c>
    </row>
    <row r="31" spans="2:10" x14ac:dyDescent="0.35">
      <c r="B31" s="742"/>
      <c r="C31" s="743"/>
      <c r="D31" s="744">
        <v>0</v>
      </c>
      <c r="E31" s="744">
        <v>0</v>
      </c>
      <c r="F31" s="744">
        <v>0</v>
      </c>
      <c r="G31" s="744">
        <v>0</v>
      </c>
      <c r="H31" s="745">
        <f>+D31+E31+F31+G31</f>
        <v>0</v>
      </c>
      <c r="I31" s="746"/>
    </row>
    <row r="32" spans="2:10" x14ac:dyDescent="0.35">
      <c r="B32" s="747"/>
      <c r="C32" s="748"/>
      <c r="D32" s="749">
        <v>0</v>
      </c>
      <c r="E32" s="749">
        <v>0</v>
      </c>
      <c r="F32" s="749">
        <v>0</v>
      </c>
      <c r="G32" s="749">
        <v>0</v>
      </c>
      <c r="H32" s="750">
        <f t="shared" ref="H32:H51" si="2">+D32+E32+F32+G32</f>
        <v>0</v>
      </c>
      <c r="I32" s="751"/>
    </row>
    <row r="33" spans="2:9" x14ac:dyDescent="0.35">
      <c r="B33" s="747"/>
      <c r="C33" s="748"/>
      <c r="D33" s="749">
        <v>0</v>
      </c>
      <c r="E33" s="749">
        <v>0</v>
      </c>
      <c r="F33" s="749">
        <v>0</v>
      </c>
      <c r="G33" s="749">
        <v>0</v>
      </c>
      <c r="H33" s="750">
        <f t="shared" si="2"/>
        <v>0</v>
      </c>
      <c r="I33" s="751"/>
    </row>
    <row r="34" spans="2:9" x14ac:dyDescent="0.35">
      <c r="B34" s="747"/>
      <c r="C34" s="748"/>
      <c r="D34" s="749">
        <v>0</v>
      </c>
      <c r="E34" s="749">
        <v>0</v>
      </c>
      <c r="F34" s="749">
        <v>0</v>
      </c>
      <c r="G34" s="749">
        <v>0</v>
      </c>
      <c r="H34" s="750">
        <f t="shared" si="2"/>
        <v>0</v>
      </c>
      <c r="I34" s="751"/>
    </row>
    <row r="35" spans="2:9" ht="13.5" customHeight="1" x14ac:dyDescent="0.35">
      <c r="B35" s="747"/>
      <c r="C35" s="748"/>
      <c r="D35" s="749">
        <v>0</v>
      </c>
      <c r="E35" s="749">
        <v>0</v>
      </c>
      <c r="F35" s="749">
        <v>0</v>
      </c>
      <c r="G35" s="749">
        <v>0</v>
      </c>
      <c r="H35" s="750">
        <f t="shared" si="2"/>
        <v>0</v>
      </c>
      <c r="I35" s="751"/>
    </row>
    <row r="36" spans="2:9" ht="13.5" customHeight="1" x14ac:dyDescent="0.35">
      <c r="B36" s="747"/>
      <c r="C36" s="748"/>
      <c r="D36" s="749">
        <v>0</v>
      </c>
      <c r="E36" s="749">
        <v>0</v>
      </c>
      <c r="F36" s="749">
        <v>0</v>
      </c>
      <c r="G36" s="749">
        <v>0</v>
      </c>
      <c r="H36" s="750">
        <f t="shared" si="2"/>
        <v>0</v>
      </c>
      <c r="I36" s="751"/>
    </row>
    <row r="37" spans="2:9" x14ac:dyDescent="0.35">
      <c r="B37" s="747"/>
      <c r="C37" s="748"/>
      <c r="D37" s="749">
        <v>0</v>
      </c>
      <c r="E37" s="749">
        <v>0</v>
      </c>
      <c r="F37" s="749">
        <v>0</v>
      </c>
      <c r="G37" s="749">
        <v>0</v>
      </c>
      <c r="H37" s="750">
        <f t="shared" si="2"/>
        <v>0</v>
      </c>
      <c r="I37" s="751"/>
    </row>
    <row r="38" spans="2:9" x14ac:dyDescent="0.35">
      <c r="B38" s="747"/>
      <c r="C38" s="748"/>
      <c r="D38" s="749">
        <v>0</v>
      </c>
      <c r="E38" s="749">
        <v>0</v>
      </c>
      <c r="F38" s="749">
        <v>0</v>
      </c>
      <c r="G38" s="749">
        <v>0</v>
      </c>
      <c r="H38" s="750">
        <f t="shared" si="2"/>
        <v>0</v>
      </c>
      <c r="I38" s="751"/>
    </row>
    <row r="39" spans="2:9" x14ac:dyDescent="0.35">
      <c r="B39" s="747"/>
      <c r="C39" s="748"/>
      <c r="D39" s="749">
        <v>0</v>
      </c>
      <c r="E39" s="749">
        <v>0</v>
      </c>
      <c r="F39" s="749">
        <v>0</v>
      </c>
      <c r="G39" s="749">
        <v>0</v>
      </c>
      <c r="H39" s="750">
        <f t="shared" si="2"/>
        <v>0</v>
      </c>
      <c r="I39" s="751"/>
    </row>
    <row r="40" spans="2:9" x14ac:dyDescent="0.35">
      <c r="B40" s="747"/>
      <c r="C40" s="748"/>
      <c r="D40" s="749">
        <v>0</v>
      </c>
      <c r="E40" s="749">
        <v>0</v>
      </c>
      <c r="F40" s="749">
        <v>0</v>
      </c>
      <c r="G40" s="749">
        <v>0</v>
      </c>
      <c r="H40" s="750">
        <f t="shared" si="2"/>
        <v>0</v>
      </c>
      <c r="I40" s="751"/>
    </row>
    <row r="41" spans="2:9" ht="13.5" customHeight="1" x14ac:dyDescent="0.35">
      <c r="B41" s="747"/>
      <c r="C41" s="748"/>
      <c r="D41" s="749">
        <v>0</v>
      </c>
      <c r="E41" s="749">
        <v>0</v>
      </c>
      <c r="F41" s="749">
        <v>0</v>
      </c>
      <c r="G41" s="749">
        <v>0</v>
      </c>
      <c r="H41" s="750">
        <f t="shared" si="2"/>
        <v>0</v>
      </c>
      <c r="I41" s="751"/>
    </row>
    <row r="42" spans="2:9" x14ac:dyDescent="0.35">
      <c r="B42" s="747"/>
      <c r="C42" s="748"/>
      <c r="D42" s="749">
        <v>0</v>
      </c>
      <c r="E42" s="749">
        <v>0</v>
      </c>
      <c r="F42" s="749">
        <v>0</v>
      </c>
      <c r="G42" s="749">
        <v>0</v>
      </c>
      <c r="H42" s="750">
        <f t="shared" si="2"/>
        <v>0</v>
      </c>
      <c r="I42" s="751"/>
    </row>
    <row r="43" spans="2:9" ht="13.5" customHeight="1" x14ac:dyDescent="0.35">
      <c r="B43" s="747"/>
      <c r="C43" s="748"/>
      <c r="D43" s="749">
        <v>0</v>
      </c>
      <c r="E43" s="749">
        <v>0</v>
      </c>
      <c r="F43" s="749">
        <v>0</v>
      </c>
      <c r="G43" s="749">
        <v>0</v>
      </c>
      <c r="H43" s="750">
        <f t="shared" si="2"/>
        <v>0</v>
      </c>
      <c r="I43" s="751"/>
    </row>
    <row r="44" spans="2:9" s="753" customFormat="1" ht="13.5" customHeight="1" x14ac:dyDescent="0.35">
      <c r="B44" s="747"/>
      <c r="C44" s="748"/>
      <c r="D44" s="749">
        <v>0</v>
      </c>
      <c r="E44" s="749">
        <v>0</v>
      </c>
      <c r="F44" s="749">
        <v>0</v>
      </c>
      <c r="G44" s="749">
        <v>0</v>
      </c>
      <c r="H44" s="750">
        <f t="shared" si="2"/>
        <v>0</v>
      </c>
      <c r="I44" s="752"/>
    </row>
    <row r="45" spans="2:9" ht="13.5" customHeight="1" x14ac:dyDescent="0.35">
      <c r="B45" s="747"/>
      <c r="C45" s="748"/>
      <c r="D45" s="749">
        <v>0</v>
      </c>
      <c r="E45" s="749">
        <v>0</v>
      </c>
      <c r="F45" s="749">
        <v>0</v>
      </c>
      <c r="G45" s="749">
        <v>0</v>
      </c>
      <c r="H45" s="750">
        <f t="shared" si="2"/>
        <v>0</v>
      </c>
      <c r="I45" s="751"/>
    </row>
    <row r="46" spans="2:9" x14ac:dyDescent="0.35">
      <c r="B46" s="747"/>
      <c r="C46" s="748"/>
      <c r="D46" s="749">
        <v>0</v>
      </c>
      <c r="E46" s="749">
        <v>0</v>
      </c>
      <c r="F46" s="749">
        <v>0</v>
      </c>
      <c r="G46" s="749">
        <v>0</v>
      </c>
      <c r="H46" s="750">
        <f t="shared" si="2"/>
        <v>0</v>
      </c>
      <c r="I46" s="751"/>
    </row>
    <row r="47" spans="2:9" x14ac:dyDescent="0.35">
      <c r="B47" s="747"/>
      <c r="C47" s="748"/>
      <c r="D47" s="749">
        <v>0</v>
      </c>
      <c r="E47" s="749">
        <v>0</v>
      </c>
      <c r="F47" s="749">
        <v>0</v>
      </c>
      <c r="G47" s="749">
        <v>0</v>
      </c>
      <c r="H47" s="750">
        <f t="shared" si="2"/>
        <v>0</v>
      </c>
      <c r="I47" s="751"/>
    </row>
    <row r="48" spans="2:9" x14ac:dyDescent="0.35">
      <c r="B48" s="747"/>
      <c r="C48" s="748"/>
      <c r="D48" s="749">
        <v>0</v>
      </c>
      <c r="E48" s="749">
        <v>0</v>
      </c>
      <c r="F48" s="749">
        <v>0</v>
      </c>
      <c r="G48" s="749">
        <v>0</v>
      </c>
      <c r="H48" s="750">
        <f t="shared" si="2"/>
        <v>0</v>
      </c>
      <c r="I48" s="751"/>
    </row>
    <row r="49" spans="2:14" x14ac:dyDescent="0.35">
      <c r="B49" s="747"/>
      <c r="C49" s="748"/>
      <c r="D49" s="749">
        <v>0</v>
      </c>
      <c r="E49" s="749">
        <v>0</v>
      </c>
      <c r="F49" s="749">
        <v>0</v>
      </c>
      <c r="G49" s="749">
        <v>0</v>
      </c>
      <c r="H49" s="750">
        <f t="shared" si="2"/>
        <v>0</v>
      </c>
      <c r="I49" s="751"/>
    </row>
    <row r="50" spans="2:14" ht="13.5" customHeight="1" thickBot="1" x14ac:dyDescent="0.4">
      <c r="B50" s="754"/>
      <c r="C50" s="755"/>
      <c r="D50" s="756">
        <v>0</v>
      </c>
      <c r="E50" s="756">
        <v>0</v>
      </c>
      <c r="F50" s="756">
        <v>0</v>
      </c>
      <c r="G50" s="756">
        <v>0</v>
      </c>
      <c r="H50" s="757">
        <f t="shared" si="2"/>
        <v>0</v>
      </c>
      <c r="I50" s="758"/>
    </row>
    <row r="51" spans="2:14" ht="15" thickBot="1" x14ac:dyDescent="0.4">
      <c r="B51" s="738"/>
      <c r="C51" s="740" t="s">
        <v>470</v>
      </c>
      <c r="D51" s="759">
        <f>SUM(D31:D50)</f>
        <v>0</v>
      </c>
      <c r="E51" s="759">
        <f t="shared" ref="E51:G51" si="3">SUM(E31:E50)</f>
        <v>0</v>
      </c>
      <c r="F51" s="759">
        <f t="shared" si="3"/>
        <v>0</v>
      </c>
      <c r="G51" s="759">
        <f t="shared" si="3"/>
        <v>0</v>
      </c>
      <c r="H51" s="759">
        <f t="shared" si="2"/>
        <v>0</v>
      </c>
      <c r="I51" s="759" cm="1">
        <f t="array" ref="I51">_xlfn.XLOOKUP($C$3,_xlfn.CHOOSECOLS('FS-Income Statement 3.05'!$C$5:$Q$5,3,7,11,15),_xlfn.XLOOKUP("990205-01",'FS-Income Statement 3.05'!$A$7:$A$203,_xlfn.CHOOSECOLS('FS-Income Statement 3.05'!$C$7:$Q$203,3,7,11,15)))</f>
        <v>0</v>
      </c>
      <c r="J51" s="2275" t="str">
        <f>IF(OR(H51=0,I51=0),"",IF(ROUND(H51,2)&lt;&gt;ROUND(I51,2),"Total Amount does not match the Income Statement. Correction Required",""))</f>
        <v/>
      </c>
      <c r="K51" s="2276"/>
      <c r="L51" s="2276"/>
      <c r="M51" s="2276"/>
      <c r="N51" s="2276"/>
    </row>
    <row r="52" spans="2:14" ht="15" thickBot="1" x14ac:dyDescent="0.4">
      <c r="B52" s="760"/>
      <c r="C52" s="760"/>
      <c r="D52" s="761"/>
    </row>
    <row r="53" spans="2:14" ht="15" thickBot="1" x14ac:dyDescent="0.4">
      <c r="B53" s="1700" t="s">
        <v>729</v>
      </c>
      <c r="C53" s="1569" t="s">
        <v>75</v>
      </c>
      <c r="D53" s="1570" t="s">
        <v>76</v>
      </c>
      <c r="E53" s="1570" t="s">
        <v>77</v>
      </c>
      <c r="F53" s="1570" t="s">
        <v>78</v>
      </c>
      <c r="G53" s="1952" t="s">
        <v>721</v>
      </c>
      <c r="H53" s="1430" t="s">
        <v>727</v>
      </c>
    </row>
    <row r="54" spans="2:14" ht="15" thickBot="1" x14ac:dyDescent="0.4">
      <c r="B54" s="1572" t="s">
        <v>730</v>
      </c>
      <c r="C54" s="1477" t="str">
        <f>F6</f>
        <v>mm/dd/yyyy</v>
      </c>
      <c r="D54" s="1573" t="str">
        <f>G6</f>
        <v>mm/dd/yyyy</v>
      </c>
      <c r="E54" s="1573" t="str">
        <f>H6</f>
        <v>mm/dd/yyyy</v>
      </c>
      <c r="F54" s="1573" t="str">
        <f>I6</f>
        <v>mm/dd/yyyy</v>
      </c>
      <c r="G54" s="1953" t="str">
        <f>J6</f>
        <v>mm/dd/yyyy</v>
      </c>
      <c r="H54" s="1431" t="s">
        <v>618</v>
      </c>
    </row>
    <row r="55" spans="2:14" x14ac:dyDescent="0.35">
      <c r="B55" s="762"/>
      <c r="C55" s="763">
        <v>0</v>
      </c>
      <c r="D55" s="763">
        <v>0</v>
      </c>
      <c r="E55" s="763">
        <v>0</v>
      </c>
      <c r="F55" s="763">
        <v>0</v>
      </c>
      <c r="G55" s="750">
        <f>+C55+D55+E55+F55</f>
        <v>0</v>
      </c>
      <c r="H55" s="746"/>
    </row>
    <row r="56" spans="2:14" x14ac:dyDescent="0.35">
      <c r="B56" s="764"/>
      <c r="C56" s="749">
        <v>0</v>
      </c>
      <c r="D56" s="749">
        <v>0</v>
      </c>
      <c r="E56" s="749">
        <v>0</v>
      </c>
      <c r="F56" s="749">
        <v>0</v>
      </c>
      <c r="G56" s="750">
        <f t="shared" ref="G56:G75" si="4">+C56+D56+E56+F56</f>
        <v>0</v>
      </c>
      <c r="H56" s="751"/>
    </row>
    <row r="57" spans="2:14" x14ac:dyDescent="0.35">
      <c r="B57" s="764"/>
      <c r="C57" s="749">
        <v>0</v>
      </c>
      <c r="D57" s="749">
        <v>0</v>
      </c>
      <c r="E57" s="749">
        <v>0</v>
      </c>
      <c r="F57" s="749">
        <v>0</v>
      </c>
      <c r="G57" s="750">
        <f t="shared" si="4"/>
        <v>0</v>
      </c>
      <c r="H57" s="751"/>
    </row>
    <row r="58" spans="2:14" x14ac:dyDescent="0.35">
      <c r="B58" s="764"/>
      <c r="C58" s="749">
        <v>0</v>
      </c>
      <c r="D58" s="749">
        <v>0</v>
      </c>
      <c r="E58" s="749">
        <v>0</v>
      </c>
      <c r="F58" s="749">
        <v>0</v>
      </c>
      <c r="G58" s="750">
        <f t="shared" si="4"/>
        <v>0</v>
      </c>
      <c r="H58" s="751"/>
    </row>
    <row r="59" spans="2:14" x14ac:dyDescent="0.35">
      <c r="B59" s="764"/>
      <c r="C59" s="749">
        <v>0</v>
      </c>
      <c r="D59" s="749">
        <v>0</v>
      </c>
      <c r="E59" s="749">
        <v>0</v>
      </c>
      <c r="F59" s="749">
        <v>0</v>
      </c>
      <c r="G59" s="750">
        <f t="shared" si="4"/>
        <v>0</v>
      </c>
      <c r="H59" s="751"/>
    </row>
    <row r="60" spans="2:14" x14ac:dyDescent="0.35">
      <c r="B60" s="764"/>
      <c r="C60" s="749">
        <v>0</v>
      </c>
      <c r="D60" s="749">
        <v>0</v>
      </c>
      <c r="E60" s="749">
        <v>0</v>
      </c>
      <c r="F60" s="749">
        <v>0</v>
      </c>
      <c r="G60" s="750">
        <f t="shared" si="4"/>
        <v>0</v>
      </c>
      <c r="H60" s="751"/>
    </row>
    <row r="61" spans="2:14" x14ac:dyDescent="0.35">
      <c r="B61" s="764"/>
      <c r="C61" s="749">
        <v>0</v>
      </c>
      <c r="D61" s="749">
        <v>0</v>
      </c>
      <c r="E61" s="749">
        <v>0</v>
      </c>
      <c r="F61" s="749">
        <v>0</v>
      </c>
      <c r="G61" s="750">
        <f t="shared" si="4"/>
        <v>0</v>
      </c>
      <c r="H61" s="751"/>
    </row>
    <row r="62" spans="2:14" x14ac:dyDescent="0.35">
      <c r="B62" s="764"/>
      <c r="C62" s="749">
        <v>0</v>
      </c>
      <c r="D62" s="749">
        <v>0</v>
      </c>
      <c r="E62" s="749">
        <v>0</v>
      </c>
      <c r="F62" s="749">
        <v>0</v>
      </c>
      <c r="G62" s="750">
        <f t="shared" si="4"/>
        <v>0</v>
      </c>
      <c r="H62" s="751"/>
    </row>
    <row r="63" spans="2:14" x14ac:dyDescent="0.35">
      <c r="B63" s="764"/>
      <c r="C63" s="749">
        <v>0</v>
      </c>
      <c r="D63" s="749">
        <v>0</v>
      </c>
      <c r="E63" s="749">
        <v>0</v>
      </c>
      <c r="F63" s="749">
        <v>0</v>
      </c>
      <c r="G63" s="750">
        <f t="shared" si="4"/>
        <v>0</v>
      </c>
      <c r="H63" s="751"/>
    </row>
    <row r="64" spans="2:14" x14ac:dyDescent="0.35">
      <c r="B64" s="764"/>
      <c r="C64" s="749">
        <v>0</v>
      </c>
      <c r="D64" s="749">
        <v>0</v>
      </c>
      <c r="E64" s="749">
        <v>0</v>
      </c>
      <c r="F64" s="749">
        <v>0</v>
      </c>
      <c r="G64" s="750">
        <f t="shared" si="4"/>
        <v>0</v>
      </c>
      <c r="H64" s="751"/>
    </row>
    <row r="65" spans="2:13" x14ac:dyDescent="0.35">
      <c r="B65" s="764"/>
      <c r="C65" s="749">
        <v>0</v>
      </c>
      <c r="D65" s="749">
        <v>0</v>
      </c>
      <c r="E65" s="749">
        <v>0</v>
      </c>
      <c r="F65" s="749">
        <v>0</v>
      </c>
      <c r="G65" s="750">
        <f t="shared" si="4"/>
        <v>0</v>
      </c>
      <c r="H65" s="751"/>
    </row>
    <row r="66" spans="2:13" x14ac:dyDescent="0.35">
      <c r="B66" s="764"/>
      <c r="C66" s="749">
        <v>0</v>
      </c>
      <c r="D66" s="749">
        <v>0</v>
      </c>
      <c r="E66" s="749">
        <v>0</v>
      </c>
      <c r="F66" s="749">
        <v>0</v>
      </c>
      <c r="G66" s="750">
        <f t="shared" si="4"/>
        <v>0</v>
      </c>
      <c r="H66" s="751"/>
    </row>
    <row r="67" spans="2:13" x14ac:dyDescent="0.35">
      <c r="B67" s="764"/>
      <c r="C67" s="749">
        <v>0</v>
      </c>
      <c r="D67" s="749">
        <v>0</v>
      </c>
      <c r="E67" s="749">
        <v>0</v>
      </c>
      <c r="F67" s="749">
        <v>0</v>
      </c>
      <c r="G67" s="750">
        <f t="shared" si="4"/>
        <v>0</v>
      </c>
      <c r="H67" s="751"/>
    </row>
    <row r="68" spans="2:13" x14ac:dyDescent="0.35">
      <c r="B68" s="764"/>
      <c r="C68" s="749">
        <v>0</v>
      </c>
      <c r="D68" s="749">
        <v>0</v>
      </c>
      <c r="E68" s="749">
        <v>0</v>
      </c>
      <c r="F68" s="749">
        <v>0</v>
      </c>
      <c r="G68" s="750">
        <f t="shared" si="4"/>
        <v>0</v>
      </c>
      <c r="H68" s="752"/>
    </row>
    <row r="69" spans="2:13" x14ac:dyDescent="0.35">
      <c r="B69" s="764"/>
      <c r="C69" s="749">
        <v>0</v>
      </c>
      <c r="D69" s="749">
        <v>0</v>
      </c>
      <c r="E69" s="749">
        <v>0</v>
      </c>
      <c r="F69" s="749">
        <v>0</v>
      </c>
      <c r="G69" s="750">
        <f t="shared" si="4"/>
        <v>0</v>
      </c>
      <c r="H69" s="751"/>
    </row>
    <row r="70" spans="2:13" x14ac:dyDescent="0.35">
      <c r="B70" s="764"/>
      <c r="C70" s="749">
        <v>0</v>
      </c>
      <c r="D70" s="749">
        <v>0</v>
      </c>
      <c r="E70" s="749">
        <v>0</v>
      </c>
      <c r="F70" s="749">
        <v>0</v>
      </c>
      <c r="G70" s="750">
        <f t="shared" si="4"/>
        <v>0</v>
      </c>
      <c r="H70" s="751"/>
    </row>
    <row r="71" spans="2:13" x14ac:dyDescent="0.35">
      <c r="B71" s="764"/>
      <c r="C71" s="749">
        <v>0</v>
      </c>
      <c r="D71" s="749">
        <v>0</v>
      </c>
      <c r="E71" s="749">
        <v>0</v>
      </c>
      <c r="F71" s="749">
        <v>0</v>
      </c>
      <c r="G71" s="750">
        <f t="shared" si="4"/>
        <v>0</v>
      </c>
      <c r="H71" s="751"/>
    </row>
    <row r="72" spans="2:13" x14ac:dyDescent="0.35">
      <c r="B72" s="764"/>
      <c r="C72" s="749">
        <v>0</v>
      </c>
      <c r="D72" s="749">
        <v>0</v>
      </c>
      <c r="E72" s="749">
        <v>0</v>
      </c>
      <c r="F72" s="749">
        <v>0</v>
      </c>
      <c r="G72" s="750">
        <f t="shared" si="4"/>
        <v>0</v>
      </c>
      <c r="H72" s="751"/>
    </row>
    <row r="73" spans="2:13" x14ac:dyDescent="0.35">
      <c r="B73" s="764"/>
      <c r="C73" s="749">
        <v>0</v>
      </c>
      <c r="D73" s="749">
        <v>0</v>
      </c>
      <c r="E73" s="749">
        <v>0</v>
      </c>
      <c r="F73" s="749">
        <v>0</v>
      </c>
      <c r="G73" s="750">
        <f t="shared" si="4"/>
        <v>0</v>
      </c>
      <c r="H73" s="751"/>
    </row>
    <row r="74" spans="2:13" ht="15" thickBot="1" x14ac:dyDescent="0.4">
      <c r="B74" s="765"/>
      <c r="C74" s="749">
        <v>0</v>
      </c>
      <c r="D74" s="749">
        <v>0</v>
      </c>
      <c r="E74" s="749">
        <v>0</v>
      </c>
      <c r="F74" s="749">
        <v>0</v>
      </c>
      <c r="G74" s="750">
        <f t="shared" si="4"/>
        <v>0</v>
      </c>
      <c r="H74" s="758"/>
    </row>
    <row r="75" spans="2:13" ht="15" thickBot="1" x14ac:dyDescent="0.4">
      <c r="B75" s="766" t="s">
        <v>470</v>
      </c>
      <c r="C75" s="759">
        <f>SUM(C55:C74)</f>
        <v>0</v>
      </c>
      <c r="D75" s="759">
        <f t="shared" ref="D75:E75" si="5">SUM(D55:D74)</f>
        <v>0</v>
      </c>
      <c r="E75" s="759">
        <f t="shared" si="5"/>
        <v>0</v>
      </c>
      <c r="F75" s="759">
        <f>SUM(F55:F74)</f>
        <v>0</v>
      </c>
      <c r="G75" s="759">
        <f t="shared" si="4"/>
        <v>0</v>
      </c>
      <c r="H75" s="759" cm="1">
        <f t="array" ref="H75">_xlfn.XLOOKUP($C$3,_xlfn.CHOOSECOLS('FS-Income Statement 3.05'!$C$5:$Q$5,3,7,11,15),_xlfn.XLOOKUP("990405-01",'FS-Income Statement 3.05'!$A$7:$A$203,_xlfn.CHOOSECOLS('FS-Income Statement 3.05'!$C$7:$Q$203,3,7,11,15)))</f>
        <v>0</v>
      </c>
      <c r="I75" s="2275" t="str">
        <f>IF(OR(G75=0,H75=0),"",IF(ROUND(G75,2)&lt;&gt;ROUND(H75,2),"Total Amount does not match the Income Statement. Correction Required",""))</f>
        <v/>
      </c>
      <c r="J75" s="2276"/>
      <c r="K75" s="2276"/>
      <c r="L75" s="2276"/>
      <c r="M75" s="2276"/>
    </row>
    <row r="76" spans="2:13" ht="15" thickBot="1" x14ac:dyDescent="0.4"/>
    <row r="77" spans="2:13" ht="15" thickBot="1" x14ac:dyDescent="0.4">
      <c r="B77" s="1701" t="s">
        <v>731</v>
      </c>
      <c r="C77" s="1569" t="s">
        <v>75</v>
      </c>
      <c r="D77" s="1570" t="s">
        <v>76</v>
      </c>
      <c r="E77" s="1570" t="s">
        <v>77</v>
      </c>
      <c r="F77" s="1570" t="s">
        <v>78</v>
      </c>
      <c r="G77" s="1436" t="s">
        <v>601</v>
      </c>
      <c r="H77" s="2281" t="s">
        <v>732</v>
      </c>
      <c r="I77" s="2281" t="s">
        <v>732</v>
      </c>
      <c r="J77" s="1952" t="s">
        <v>733</v>
      </c>
    </row>
    <row r="78" spans="2:13" ht="15" thickBot="1" x14ac:dyDescent="0.4">
      <c r="B78" s="1572" t="s">
        <v>734</v>
      </c>
      <c r="C78" s="1577">
        <f>IFERROR(EOMONTH(D78,-3),"mm/dd/yyyy")</f>
        <v>45657</v>
      </c>
      <c r="D78" s="1573">
        <f>IFERROR(EOMONTH(E78,-3),"mm/dd/yyyy")</f>
        <v>45747</v>
      </c>
      <c r="E78" s="1573">
        <f>IFERROR(EOMONTH(F78,-3),"mm/dd/yyyy")</f>
        <v>45838</v>
      </c>
      <c r="F78" s="1573">
        <f>'Instruction &amp; Audit Report B '!C23</f>
        <v>45930</v>
      </c>
      <c r="G78" s="1438" t="str">
        <f>"CYE "&amp;TEXT(F78,"yy")</f>
        <v>CYE 25</v>
      </c>
      <c r="H78" s="2282"/>
      <c r="I78" s="2282"/>
      <c r="J78" s="1953" t="str">
        <f>"Restated "&amp;G78</f>
        <v>Restated CYE 25</v>
      </c>
    </row>
    <row r="79" spans="2:13" x14ac:dyDescent="0.35">
      <c r="B79" s="768" t="s">
        <v>735</v>
      </c>
      <c r="C79" s="769">
        <v>0</v>
      </c>
      <c r="D79" s="770">
        <v>0</v>
      </c>
      <c r="E79" s="770">
        <v>0</v>
      </c>
      <c r="F79" s="770">
        <v>0</v>
      </c>
      <c r="G79" s="750">
        <f t="shared" ref="G79:G98" si="6">C79+D79+E79+F79</f>
        <v>0</v>
      </c>
      <c r="H79" s="770">
        <v>0</v>
      </c>
      <c r="I79" s="770">
        <v>0</v>
      </c>
      <c r="J79" s="750">
        <f t="shared" ref="J79:J98" si="7">G79+H79+I79</f>
        <v>0</v>
      </c>
    </row>
    <row r="80" spans="2:13" x14ac:dyDescent="0.35">
      <c r="B80" s="771" t="s">
        <v>736</v>
      </c>
      <c r="C80" s="772">
        <v>0</v>
      </c>
      <c r="D80" s="773">
        <v>0</v>
      </c>
      <c r="E80" s="773">
        <v>0</v>
      </c>
      <c r="F80" s="773">
        <v>0</v>
      </c>
      <c r="G80" s="750">
        <f t="shared" si="6"/>
        <v>0</v>
      </c>
      <c r="H80" s="773">
        <v>0</v>
      </c>
      <c r="I80" s="773">
        <v>0</v>
      </c>
      <c r="J80" s="750">
        <f t="shared" si="7"/>
        <v>0</v>
      </c>
    </row>
    <row r="81" spans="2:10" x14ac:dyDescent="0.35">
      <c r="B81" s="771" t="s">
        <v>737</v>
      </c>
      <c r="C81" s="772">
        <v>0</v>
      </c>
      <c r="D81" s="773">
        <v>0</v>
      </c>
      <c r="E81" s="773">
        <v>0</v>
      </c>
      <c r="F81" s="773">
        <v>0</v>
      </c>
      <c r="G81" s="750">
        <f t="shared" si="6"/>
        <v>0</v>
      </c>
      <c r="H81" s="773">
        <v>0</v>
      </c>
      <c r="I81" s="773">
        <v>0</v>
      </c>
      <c r="J81" s="750">
        <f t="shared" si="7"/>
        <v>0</v>
      </c>
    </row>
    <row r="82" spans="2:10" x14ac:dyDescent="0.35">
      <c r="B82" s="771" t="s">
        <v>738</v>
      </c>
      <c r="C82" s="772">
        <v>0</v>
      </c>
      <c r="D82" s="773">
        <v>0</v>
      </c>
      <c r="E82" s="773">
        <v>0</v>
      </c>
      <c r="F82" s="773">
        <v>0</v>
      </c>
      <c r="G82" s="750">
        <f t="shared" si="6"/>
        <v>0</v>
      </c>
      <c r="H82" s="773">
        <v>0</v>
      </c>
      <c r="I82" s="773">
        <v>0</v>
      </c>
      <c r="J82" s="750">
        <f t="shared" si="7"/>
        <v>0</v>
      </c>
    </row>
    <row r="83" spans="2:10" x14ac:dyDescent="0.35">
      <c r="B83" s="771" t="s">
        <v>739</v>
      </c>
      <c r="C83" s="772">
        <v>0</v>
      </c>
      <c r="D83" s="773">
        <v>0</v>
      </c>
      <c r="E83" s="773">
        <v>0</v>
      </c>
      <c r="F83" s="773">
        <v>0</v>
      </c>
      <c r="G83" s="750">
        <f t="shared" si="6"/>
        <v>0</v>
      </c>
      <c r="H83" s="773">
        <v>0</v>
      </c>
      <c r="I83" s="773">
        <v>0</v>
      </c>
      <c r="J83" s="750">
        <f t="shared" si="7"/>
        <v>0</v>
      </c>
    </row>
    <row r="84" spans="2:10" x14ac:dyDescent="0.35">
      <c r="B84" s="771" t="s">
        <v>740</v>
      </c>
      <c r="C84" s="772">
        <v>0</v>
      </c>
      <c r="D84" s="773">
        <v>0</v>
      </c>
      <c r="E84" s="773">
        <v>0</v>
      </c>
      <c r="F84" s="773">
        <v>0</v>
      </c>
      <c r="G84" s="750">
        <f t="shared" si="6"/>
        <v>0</v>
      </c>
      <c r="H84" s="773">
        <v>0</v>
      </c>
      <c r="I84" s="773">
        <v>0</v>
      </c>
      <c r="J84" s="750">
        <f t="shared" si="7"/>
        <v>0</v>
      </c>
    </row>
    <row r="85" spans="2:10" x14ac:dyDescent="0.35">
      <c r="B85" s="771" t="s">
        <v>741</v>
      </c>
      <c r="C85" s="772">
        <v>0</v>
      </c>
      <c r="D85" s="773">
        <v>0</v>
      </c>
      <c r="E85" s="773">
        <v>0</v>
      </c>
      <c r="F85" s="773">
        <v>0</v>
      </c>
      <c r="G85" s="750">
        <f t="shared" si="6"/>
        <v>0</v>
      </c>
      <c r="H85" s="773">
        <v>0</v>
      </c>
      <c r="I85" s="773">
        <v>0</v>
      </c>
      <c r="J85" s="750">
        <f t="shared" si="7"/>
        <v>0</v>
      </c>
    </row>
    <row r="86" spans="2:10" x14ac:dyDescent="0.35">
      <c r="B86" s="771" t="s">
        <v>742</v>
      </c>
      <c r="C86" s="772">
        <v>0</v>
      </c>
      <c r="D86" s="773">
        <v>0</v>
      </c>
      <c r="E86" s="773">
        <v>0</v>
      </c>
      <c r="F86" s="773">
        <v>0</v>
      </c>
      <c r="G86" s="750">
        <f t="shared" si="6"/>
        <v>0</v>
      </c>
      <c r="H86" s="773">
        <v>0</v>
      </c>
      <c r="I86" s="773">
        <v>0</v>
      </c>
      <c r="J86" s="750">
        <f t="shared" si="7"/>
        <v>0</v>
      </c>
    </row>
    <row r="87" spans="2:10" x14ac:dyDescent="0.35">
      <c r="B87" s="771" t="s">
        <v>743</v>
      </c>
      <c r="C87" s="772">
        <v>0</v>
      </c>
      <c r="D87" s="773">
        <v>0</v>
      </c>
      <c r="E87" s="773">
        <v>0</v>
      </c>
      <c r="F87" s="773">
        <v>0</v>
      </c>
      <c r="G87" s="750">
        <f t="shared" si="6"/>
        <v>0</v>
      </c>
      <c r="H87" s="773">
        <v>0</v>
      </c>
      <c r="I87" s="773">
        <v>0</v>
      </c>
      <c r="J87" s="750">
        <f t="shared" si="7"/>
        <v>0</v>
      </c>
    </row>
    <row r="88" spans="2:10" x14ac:dyDescent="0.35">
      <c r="B88" s="771" t="s">
        <v>1124</v>
      </c>
      <c r="C88" s="772">
        <v>0</v>
      </c>
      <c r="D88" s="773">
        <v>0</v>
      </c>
      <c r="E88" s="773">
        <v>0</v>
      </c>
      <c r="F88" s="773">
        <v>0</v>
      </c>
      <c r="G88" s="750">
        <f>C88+D88+E88+F88</f>
        <v>0</v>
      </c>
      <c r="H88" s="773">
        <v>0</v>
      </c>
      <c r="I88" s="773">
        <v>0</v>
      </c>
      <c r="J88" s="750">
        <f>G88+H88+I88</f>
        <v>0</v>
      </c>
    </row>
    <row r="89" spans="2:10" x14ac:dyDescent="0.35">
      <c r="B89" s="771" t="s">
        <v>1125</v>
      </c>
      <c r="C89" s="772">
        <v>0</v>
      </c>
      <c r="D89" s="773">
        <v>0</v>
      </c>
      <c r="E89" s="773">
        <v>0</v>
      </c>
      <c r="F89" s="773">
        <v>0</v>
      </c>
      <c r="G89" s="750">
        <f t="shared" si="6"/>
        <v>0</v>
      </c>
      <c r="H89" s="773">
        <v>0</v>
      </c>
      <c r="I89" s="773">
        <v>0</v>
      </c>
      <c r="J89" s="750">
        <f t="shared" si="7"/>
        <v>0</v>
      </c>
    </row>
    <row r="90" spans="2:10" x14ac:dyDescent="0.35">
      <c r="B90" s="771" t="s">
        <v>744</v>
      </c>
      <c r="C90" s="772">
        <v>0</v>
      </c>
      <c r="D90" s="773">
        <v>0</v>
      </c>
      <c r="E90" s="773">
        <v>0</v>
      </c>
      <c r="F90" s="773">
        <v>0</v>
      </c>
      <c r="G90" s="750">
        <f t="shared" si="6"/>
        <v>0</v>
      </c>
      <c r="H90" s="773">
        <v>0</v>
      </c>
      <c r="I90" s="773">
        <v>0</v>
      </c>
      <c r="J90" s="750">
        <f t="shared" si="7"/>
        <v>0</v>
      </c>
    </row>
    <row r="91" spans="2:10" x14ac:dyDescent="0.35">
      <c r="B91" s="771" t="s">
        <v>745</v>
      </c>
      <c r="C91" s="772">
        <v>0</v>
      </c>
      <c r="D91" s="773">
        <v>0</v>
      </c>
      <c r="E91" s="773">
        <v>0</v>
      </c>
      <c r="F91" s="773">
        <v>0</v>
      </c>
      <c r="G91" s="750">
        <f t="shared" si="6"/>
        <v>0</v>
      </c>
      <c r="H91" s="773">
        <v>0</v>
      </c>
      <c r="I91" s="773">
        <v>0</v>
      </c>
      <c r="J91" s="750">
        <f t="shared" si="7"/>
        <v>0</v>
      </c>
    </row>
    <row r="92" spans="2:10" x14ac:dyDescent="0.35">
      <c r="B92" s="771" t="s">
        <v>746</v>
      </c>
      <c r="C92" s="772">
        <v>0</v>
      </c>
      <c r="D92" s="773">
        <v>0</v>
      </c>
      <c r="E92" s="773">
        <v>0</v>
      </c>
      <c r="F92" s="773">
        <v>0</v>
      </c>
      <c r="G92" s="750">
        <f t="shared" si="6"/>
        <v>0</v>
      </c>
      <c r="H92" s="773">
        <v>0</v>
      </c>
      <c r="I92" s="773">
        <v>0</v>
      </c>
      <c r="J92" s="750">
        <f t="shared" si="7"/>
        <v>0</v>
      </c>
    </row>
    <row r="93" spans="2:10" x14ac:dyDescent="0.35">
      <c r="B93" s="771" t="s">
        <v>747</v>
      </c>
      <c r="C93" s="772">
        <v>0</v>
      </c>
      <c r="D93" s="773">
        <v>0</v>
      </c>
      <c r="E93" s="773">
        <v>0</v>
      </c>
      <c r="F93" s="773">
        <v>0</v>
      </c>
      <c r="G93" s="750">
        <f t="shared" si="6"/>
        <v>0</v>
      </c>
      <c r="H93" s="773">
        <v>0</v>
      </c>
      <c r="I93" s="773">
        <v>0</v>
      </c>
      <c r="J93" s="750">
        <f t="shared" si="7"/>
        <v>0</v>
      </c>
    </row>
    <row r="94" spans="2:10" x14ac:dyDescent="0.35">
      <c r="B94" s="771" t="s">
        <v>748</v>
      </c>
      <c r="C94" s="772">
        <v>0</v>
      </c>
      <c r="D94" s="773">
        <v>0</v>
      </c>
      <c r="E94" s="773">
        <v>0</v>
      </c>
      <c r="F94" s="773">
        <v>0</v>
      </c>
      <c r="G94" s="750">
        <f t="shared" si="6"/>
        <v>0</v>
      </c>
      <c r="H94" s="773">
        <v>0</v>
      </c>
      <c r="I94" s="773">
        <v>0</v>
      </c>
      <c r="J94" s="750">
        <f t="shared" si="7"/>
        <v>0</v>
      </c>
    </row>
    <row r="95" spans="2:10" x14ac:dyDescent="0.35">
      <c r="B95" s="771" t="s">
        <v>749</v>
      </c>
      <c r="C95" s="772">
        <v>0</v>
      </c>
      <c r="D95" s="773">
        <v>0</v>
      </c>
      <c r="E95" s="773">
        <v>0</v>
      </c>
      <c r="F95" s="773">
        <v>0</v>
      </c>
      <c r="G95" s="750">
        <f t="shared" si="6"/>
        <v>0</v>
      </c>
      <c r="H95" s="773">
        <v>0</v>
      </c>
      <c r="I95" s="773">
        <v>0</v>
      </c>
      <c r="J95" s="750">
        <f t="shared" si="7"/>
        <v>0</v>
      </c>
    </row>
    <row r="96" spans="2:10" x14ac:dyDescent="0.35">
      <c r="B96" s="771" t="s">
        <v>750</v>
      </c>
      <c r="C96" s="772">
        <v>0</v>
      </c>
      <c r="D96" s="773">
        <v>0</v>
      </c>
      <c r="E96" s="773">
        <v>0</v>
      </c>
      <c r="F96" s="773">
        <v>0</v>
      </c>
      <c r="G96" s="750">
        <f t="shared" si="6"/>
        <v>0</v>
      </c>
      <c r="H96" s="773">
        <v>0</v>
      </c>
      <c r="I96" s="773">
        <v>0</v>
      </c>
      <c r="J96" s="750">
        <f t="shared" si="7"/>
        <v>0</v>
      </c>
    </row>
    <row r="97" spans="2:10" x14ac:dyDescent="0.35">
      <c r="B97" s="771" t="s">
        <v>751</v>
      </c>
      <c r="C97" s="772">
        <v>0</v>
      </c>
      <c r="D97" s="773">
        <v>0</v>
      </c>
      <c r="E97" s="773">
        <v>0</v>
      </c>
      <c r="F97" s="773">
        <v>0</v>
      </c>
      <c r="G97" s="750">
        <f t="shared" si="6"/>
        <v>0</v>
      </c>
      <c r="H97" s="773">
        <v>0</v>
      </c>
      <c r="I97" s="773">
        <v>0</v>
      </c>
      <c r="J97" s="750">
        <f t="shared" si="7"/>
        <v>0</v>
      </c>
    </row>
    <row r="98" spans="2:10" ht="15" thickBot="1" x14ac:dyDescent="0.4">
      <c r="B98" s="774" t="s">
        <v>752</v>
      </c>
      <c r="C98" s="775">
        <v>0</v>
      </c>
      <c r="D98" s="773">
        <v>0</v>
      </c>
      <c r="E98" s="773">
        <v>0</v>
      </c>
      <c r="F98" s="773">
        <v>0</v>
      </c>
      <c r="G98" s="750">
        <f t="shared" si="6"/>
        <v>0</v>
      </c>
      <c r="H98" s="773">
        <v>0</v>
      </c>
      <c r="I98" s="773">
        <v>0</v>
      </c>
      <c r="J98" s="750">
        <f t="shared" si="7"/>
        <v>0</v>
      </c>
    </row>
    <row r="99" spans="2:10" ht="15" thickBot="1" x14ac:dyDescent="0.4">
      <c r="B99" s="776" t="s">
        <v>470</v>
      </c>
      <c r="C99" s="777">
        <f t="shared" ref="C99:J99" si="8">SUM(C79:C98)</f>
        <v>0</v>
      </c>
      <c r="D99" s="759">
        <f t="shared" si="8"/>
        <v>0</v>
      </c>
      <c r="E99" s="759">
        <f t="shared" si="8"/>
        <v>0</v>
      </c>
      <c r="F99" s="759">
        <f t="shared" si="8"/>
        <v>0</v>
      </c>
      <c r="G99" s="759">
        <f t="shared" si="8"/>
        <v>0</v>
      </c>
      <c r="H99" s="759">
        <f t="shared" si="8"/>
        <v>0</v>
      </c>
      <c r="I99" s="759">
        <f t="shared" si="8"/>
        <v>0</v>
      </c>
      <c r="J99" s="759">
        <f t="shared" si="8"/>
        <v>0</v>
      </c>
    </row>
  </sheetData>
  <mergeCells count="4">
    <mergeCell ref="H77:H78"/>
    <mergeCell ref="I77:I78"/>
    <mergeCell ref="J51:N51"/>
    <mergeCell ref="I75:M75"/>
  </mergeCells>
  <conditionalFormatting sqref="I75">
    <cfRule type="containsText" dxfId="12" priority="1" operator="containsText" text="Correction Required">
      <formula>NOT(ISERROR(SEARCH("Correction Required",I75)))</formula>
    </cfRule>
  </conditionalFormatting>
  <conditionalFormatting sqref="J51">
    <cfRule type="containsText" dxfId="11" priority="2" operator="containsText" text="Correction Required">
      <formula>NOT(ISERROR(SEARCH("Correction Required",J51)))</formula>
    </cfRule>
  </conditionalFormatting>
  <dataValidations disablePrompts="1" count="1">
    <dataValidation type="list" allowBlank="1" showInputMessage="1" showErrorMessage="1" sqref="D7:D26" xr:uid="{8A2945ED-A70C-4A64-85F0-1A9FCE6AB766}">
      <formula1>"Select One, Medical, Administrative"</formula1>
    </dataValidation>
  </dataValidations>
  <printOptions gridLinesSet="0"/>
  <pageMargins left="0.22" right="0.17" top="0.3" bottom="1" header="0.17" footer="0.5"/>
  <pageSetup scale="78" orientation="portrait" r:id="rId1"/>
  <headerFooter alignWithMargins="0">
    <oddFooter>&amp;L&amp;Z&amp;F&amp;A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A7FA7-83AD-4981-9161-C43DBF6140D5}">
  <sheetPr syncVertical="1" syncRef="A9" transitionEvaluation="1">
    <pageSetUpPr fitToPage="1"/>
  </sheetPr>
  <dimension ref="A1:E140"/>
  <sheetViews>
    <sheetView showGridLines="0" zoomScaleNormal="100" zoomScaleSheetLayoutView="75" workbookViewId="0">
      <pane ySplit="8" topLeftCell="A9" activePane="bottomLeft" state="frozen"/>
      <selection activeCell="E57" sqref="E57"/>
      <selection pane="bottomLeft" activeCell="I21" sqref="I21"/>
    </sheetView>
  </sheetViews>
  <sheetFormatPr defaultColWidth="12.54296875" defaultRowHeight="14.5" x14ac:dyDescent="0.35"/>
  <cols>
    <col min="1" max="1" width="20.54296875" style="400" customWidth="1"/>
    <col min="2" max="2" width="57.54296875" style="400" customWidth="1"/>
    <col min="3" max="5" width="17.54296875" style="846" customWidth="1"/>
    <col min="6" max="16384" width="12.54296875" style="400"/>
  </cols>
  <sheetData>
    <row r="1" spans="1:5" x14ac:dyDescent="0.35">
      <c r="A1" s="1538" t="s">
        <v>753</v>
      </c>
      <c r="B1" s="1539"/>
      <c r="C1" s="1540"/>
      <c r="D1" s="1540"/>
      <c r="E1" s="1541"/>
    </row>
    <row r="2" spans="1:5" s="838" customFormat="1" ht="20.25" customHeight="1" thickBot="1" x14ac:dyDescent="0.3">
      <c r="A2" s="1542" t="s">
        <v>754</v>
      </c>
      <c r="B2" s="1543"/>
      <c r="C2" s="1544"/>
      <c r="D2" s="1545"/>
      <c r="E2" s="1546"/>
    </row>
    <row r="3" spans="1:5" x14ac:dyDescent="0.35">
      <c r="A3" s="779"/>
      <c r="C3" s="839"/>
      <c r="D3" s="839"/>
      <c r="E3" s="839"/>
    </row>
    <row r="4" spans="1:5" x14ac:dyDescent="0.35">
      <c r="A4" s="840" t="s">
        <v>755</v>
      </c>
      <c r="C4" s="839"/>
      <c r="D4" s="839"/>
      <c r="E4" s="839"/>
    </row>
    <row r="5" spans="1:5" x14ac:dyDescent="0.35">
      <c r="A5" s="597" t="s">
        <v>45</v>
      </c>
      <c r="B5" s="23" t="str">
        <f>'Instruction &amp; Audit Report B '!C20</f>
        <v>Select Contractor Name</v>
      </c>
      <c r="C5" s="400"/>
      <c r="D5" s="400"/>
      <c r="E5" s="400"/>
    </row>
    <row r="6" spans="1:5" x14ac:dyDescent="0.35">
      <c r="A6" s="597" t="s">
        <v>708</v>
      </c>
      <c r="B6" s="40" t="str">
        <f>'Instruction &amp; Audit Report B '!C21</f>
        <v>mm/dd/yyyy</v>
      </c>
      <c r="C6" s="400"/>
      <c r="D6" s="400"/>
      <c r="E6" s="400"/>
    </row>
    <row r="7" spans="1:5" ht="15" thickBot="1" x14ac:dyDescent="0.4">
      <c r="A7" s="722"/>
      <c r="B7" s="525"/>
      <c r="C7" s="400"/>
      <c r="D7" s="400"/>
      <c r="E7" s="400"/>
    </row>
    <row r="8" spans="1:5" s="841" customFormat="1" ht="42" customHeight="1" thickBot="1" x14ac:dyDescent="0.3">
      <c r="A8" s="1547" t="s">
        <v>188</v>
      </c>
      <c r="B8" s="1548" t="s">
        <v>189</v>
      </c>
      <c r="C8" s="1549" t="s">
        <v>190</v>
      </c>
      <c r="D8" s="1550" t="s">
        <v>191</v>
      </c>
      <c r="E8" s="1956" t="s">
        <v>192</v>
      </c>
    </row>
    <row r="9" spans="1:5" s="841" customFormat="1" x14ac:dyDescent="0.35">
      <c r="A9" s="784" t="s">
        <v>193</v>
      </c>
      <c r="B9" s="785" t="s">
        <v>194</v>
      </c>
      <c r="C9" s="483">
        <f>'Central 4.10-a'!C9+'South 4.10-b'!C9+'North 4.10-c'!C9</f>
        <v>0</v>
      </c>
      <c r="D9" s="484">
        <f>'Central 4.10-a'!D9+'South 4.10-b'!D9+'North 4.10-c'!D9</f>
        <v>0</v>
      </c>
      <c r="E9" s="813">
        <f>C9+D9</f>
        <v>0</v>
      </c>
    </row>
    <row r="10" spans="1:5" s="841" customFormat="1" x14ac:dyDescent="0.35">
      <c r="A10" s="829" t="s">
        <v>195</v>
      </c>
      <c r="B10" s="830" t="s">
        <v>196</v>
      </c>
      <c r="C10" s="483">
        <f>'Central 4.10-a'!C10+'South 4.10-b'!C10+'North 4.10-c'!C10</f>
        <v>0</v>
      </c>
      <c r="D10" s="484">
        <f>'Central 4.10-a'!D10+'South 4.10-b'!D10+'North 4.10-c'!D10</f>
        <v>0</v>
      </c>
      <c r="E10" s="813">
        <f>+C10+D10</f>
        <v>0</v>
      </c>
    </row>
    <row r="11" spans="1:5" s="841" customFormat="1" x14ac:dyDescent="0.35">
      <c r="A11" s="829" t="s">
        <v>197</v>
      </c>
      <c r="B11" s="831" t="s">
        <v>198</v>
      </c>
      <c r="C11" s="483">
        <f>'Central 4.10-a'!C11+'South 4.10-b'!C11+'North 4.10-c'!C11</f>
        <v>0</v>
      </c>
      <c r="D11" s="484">
        <f>'Central 4.10-a'!D11+'South 4.10-b'!D11+'North 4.10-c'!D11</f>
        <v>0</v>
      </c>
      <c r="E11" s="813">
        <f>+C11+D11</f>
        <v>0</v>
      </c>
    </row>
    <row r="12" spans="1:5" x14ac:dyDescent="0.35">
      <c r="A12" s="399" t="s">
        <v>199</v>
      </c>
      <c r="B12" s="538"/>
      <c r="C12" s="512"/>
      <c r="D12" s="440"/>
      <c r="E12" s="813"/>
    </row>
    <row r="13" spans="1:5" x14ac:dyDescent="0.35">
      <c r="A13" s="411" t="s">
        <v>200</v>
      </c>
      <c r="B13" s="450" t="s">
        <v>201</v>
      </c>
      <c r="C13" s="512">
        <f>'Central 4.10-a'!C13+'South 4.10-b'!C13+'North 4.10-c'!C13</f>
        <v>0</v>
      </c>
      <c r="D13" s="440">
        <v>0</v>
      </c>
      <c r="E13" s="813">
        <f t="shared" ref="E13:E23" si="0">C13+D13</f>
        <v>0</v>
      </c>
    </row>
    <row r="14" spans="1:5" x14ac:dyDescent="0.35">
      <c r="A14" s="411" t="s">
        <v>202</v>
      </c>
      <c r="B14" s="450" t="s">
        <v>203</v>
      </c>
      <c r="C14" s="512">
        <f>'Central 4.10-a'!C14+'South 4.10-b'!C14+'North 4.10-c'!C14</f>
        <v>0</v>
      </c>
      <c r="D14" s="440">
        <f>'Central 4.10-a'!D14+'South 4.10-b'!D14+'North 4.10-c'!D14</f>
        <v>0</v>
      </c>
      <c r="E14" s="813">
        <f t="shared" si="0"/>
        <v>0</v>
      </c>
    </row>
    <row r="15" spans="1:5" x14ac:dyDescent="0.35">
      <c r="A15" s="411" t="s">
        <v>204</v>
      </c>
      <c r="B15" s="450" t="s">
        <v>205</v>
      </c>
      <c r="C15" s="512">
        <f>'Central 4.10-a'!C15+'South 4.10-b'!C15+'North 4.10-c'!C15</f>
        <v>0</v>
      </c>
      <c r="D15" s="440">
        <f>'Central 4.10-a'!D15+'South 4.10-b'!D15+'North 4.10-c'!D15</f>
        <v>0</v>
      </c>
      <c r="E15" s="813">
        <f t="shared" si="0"/>
        <v>0</v>
      </c>
    </row>
    <row r="16" spans="1:5" x14ac:dyDescent="0.35">
      <c r="A16" s="411" t="s">
        <v>206</v>
      </c>
      <c r="B16" s="450" t="s">
        <v>207</v>
      </c>
      <c r="C16" s="512">
        <f>'Central 4.10-a'!C16+'South 4.10-b'!C16+'North 4.10-c'!C16</f>
        <v>0</v>
      </c>
      <c r="D16" s="440">
        <f>'Central 4.10-a'!D16+'South 4.10-b'!D16+'North 4.10-c'!D16</f>
        <v>0</v>
      </c>
      <c r="E16" s="813">
        <f t="shared" si="0"/>
        <v>0</v>
      </c>
    </row>
    <row r="17" spans="1:5" x14ac:dyDescent="0.35">
      <c r="A17" s="411" t="s">
        <v>208</v>
      </c>
      <c r="B17" s="450" t="s">
        <v>209</v>
      </c>
      <c r="C17" s="512">
        <f>'Central 4.10-a'!C17+'South 4.10-b'!C17+'North 4.10-c'!C17</f>
        <v>0</v>
      </c>
      <c r="D17" s="440">
        <f>'Central 4.10-a'!D17+'South 4.10-b'!D17+'North 4.10-c'!D17</f>
        <v>0</v>
      </c>
      <c r="E17" s="813">
        <f t="shared" si="0"/>
        <v>0</v>
      </c>
    </row>
    <row r="18" spans="1:5" x14ac:dyDescent="0.35">
      <c r="A18" s="411" t="s">
        <v>210</v>
      </c>
      <c r="B18" s="450" t="s">
        <v>211</v>
      </c>
      <c r="C18" s="512">
        <f>'Central 4.10-a'!C18+'South 4.10-b'!C18+'North 4.10-c'!C18</f>
        <v>0</v>
      </c>
      <c r="D18" s="440">
        <f>'Central 4.10-a'!D18+'South 4.10-b'!D18+'North 4.10-c'!D18</f>
        <v>0</v>
      </c>
      <c r="E18" s="813">
        <f t="shared" si="0"/>
        <v>0</v>
      </c>
    </row>
    <row r="19" spans="1:5" ht="15" thickBot="1" x14ac:dyDescent="0.4">
      <c r="A19" s="606" t="s">
        <v>212</v>
      </c>
      <c r="B19" s="607" t="s">
        <v>213</v>
      </c>
      <c r="C19" s="496">
        <f>'Central 4.10-a'!C19+'South 4.10-b'!C19+'North 4.10-c'!C19</f>
        <v>0</v>
      </c>
      <c r="D19" s="440">
        <f>'Central 4.10-a'!D19+'South 4.10-b'!D19+'North 4.10-c'!D19</f>
        <v>0</v>
      </c>
      <c r="E19" s="813">
        <f t="shared" si="0"/>
        <v>0</v>
      </c>
    </row>
    <row r="20" spans="1:5" ht="15" thickBot="1" x14ac:dyDescent="0.4">
      <c r="A20" s="421">
        <v>40199</v>
      </c>
      <c r="B20" s="610" t="s">
        <v>214</v>
      </c>
      <c r="C20" s="460">
        <f>SUM(C13:C19)</f>
        <v>0</v>
      </c>
      <c r="D20" s="461">
        <f>SUM(D13:D19)</f>
        <v>0</v>
      </c>
      <c r="E20" s="423">
        <f>SUM(E13:E19)</f>
        <v>0</v>
      </c>
    </row>
    <row r="21" spans="1:5" x14ac:dyDescent="0.35">
      <c r="A21" s="411" t="s">
        <v>215</v>
      </c>
      <c r="B21" s="450" t="s">
        <v>216</v>
      </c>
      <c r="C21" s="834">
        <f>'Central 4.10-a'!C21+'South 4.10-b'!C21+'North 4.10-c'!C21</f>
        <v>0</v>
      </c>
      <c r="D21" s="440">
        <f>'Central 4.10-a'!D21+'South 4.10-b'!D21+'North 4.10-c'!D21</f>
        <v>0</v>
      </c>
      <c r="E21" s="813">
        <f t="shared" si="0"/>
        <v>0</v>
      </c>
    </row>
    <row r="22" spans="1:5" x14ac:dyDescent="0.35">
      <c r="A22" s="411" t="s">
        <v>217</v>
      </c>
      <c r="B22" s="615" t="s">
        <v>218</v>
      </c>
      <c r="C22" s="825">
        <f>'Central 4.10-a'!C22+'South 4.10-b'!C22+'North 4.10-c'!C22</f>
        <v>0</v>
      </c>
      <c r="D22" s="440">
        <f>'Central 4.10-a'!D22+'South 4.10-b'!D22+'North 4.10-c'!D22</f>
        <v>0</v>
      </c>
      <c r="E22" s="813">
        <f t="shared" si="0"/>
        <v>0</v>
      </c>
    </row>
    <row r="23" spans="1:5" ht="15" thickBot="1" x14ac:dyDescent="0.4">
      <c r="A23" s="411" t="s">
        <v>219</v>
      </c>
      <c r="B23" s="450" t="s">
        <v>220</v>
      </c>
      <c r="C23" s="825">
        <f>'Central 4.10-a'!C23+'South 4.10-b'!C23+'North 4.10-c'!C23</f>
        <v>0</v>
      </c>
      <c r="D23" s="440">
        <f>'Central 4.10-a'!D23+'South 4.10-b'!D23+'North 4.10-c'!D23</f>
        <v>0</v>
      </c>
      <c r="E23" s="813">
        <f t="shared" si="0"/>
        <v>0</v>
      </c>
    </row>
    <row r="24" spans="1:5" ht="15" thickBot="1" x14ac:dyDescent="0.4">
      <c r="A24" s="421">
        <v>49999</v>
      </c>
      <c r="B24" s="610" t="s">
        <v>221</v>
      </c>
      <c r="C24" s="460">
        <f>SUM(C20:C23)</f>
        <v>0</v>
      </c>
      <c r="D24" s="461">
        <f>SUM(D20:D23)</f>
        <v>0</v>
      </c>
      <c r="E24" s="423">
        <f>SUM(E20:E23)</f>
        <v>0</v>
      </c>
    </row>
    <row r="25" spans="1:5" x14ac:dyDescent="0.35">
      <c r="A25" s="399" t="s">
        <v>222</v>
      </c>
      <c r="B25" s="538"/>
      <c r="C25" s="834"/>
      <c r="D25" s="440"/>
      <c r="E25" s="813"/>
    </row>
    <row r="26" spans="1:5" x14ac:dyDescent="0.35">
      <c r="A26" s="444" t="s">
        <v>223</v>
      </c>
      <c r="B26" s="450" t="s">
        <v>224</v>
      </c>
      <c r="C26" s="825">
        <f>'Central 4.10-a'!C26+'South 4.10-b'!C26+'North 4.10-c'!C26</f>
        <v>0</v>
      </c>
      <c r="D26" s="440">
        <f>'Central 4.10-a'!D26+'South 4.10-b'!D26+'North 4.10-c'!D26</f>
        <v>0</v>
      </c>
      <c r="E26" s="813">
        <f t="shared" ref="E26:E31" si="1">C26+D26</f>
        <v>0</v>
      </c>
    </row>
    <row r="27" spans="1:5" x14ac:dyDescent="0.35">
      <c r="A27" s="445" t="s">
        <v>225</v>
      </c>
      <c r="B27" s="450" t="s">
        <v>226</v>
      </c>
      <c r="C27" s="825">
        <f>'Central 4.10-a'!C27+'South 4.10-b'!C27+'North 4.10-c'!C27</f>
        <v>0</v>
      </c>
      <c r="D27" s="440">
        <f>'Central 4.10-a'!D27+'South 4.10-b'!D27+'North 4.10-c'!D27</f>
        <v>0</v>
      </c>
      <c r="E27" s="813">
        <f t="shared" si="1"/>
        <v>0</v>
      </c>
    </row>
    <row r="28" spans="1:5" x14ac:dyDescent="0.35">
      <c r="A28" s="445" t="s">
        <v>227</v>
      </c>
      <c r="B28" s="450" t="s">
        <v>228</v>
      </c>
      <c r="C28" s="825">
        <f>'Central 4.10-a'!C28+'South 4.10-b'!C28+'North 4.10-c'!C28</f>
        <v>0</v>
      </c>
      <c r="D28" s="440">
        <f>'Central 4.10-a'!D28+'South 4.10-b'!D28+'North 4.10-c'!D28</f>
        <v>0</v>
      </c>
      <c r="E28" s="813">
        <f t="shared" si="1"/>
        <v>0</v>
      </c>
    </row>
    <row r="29" spans="1:5" x14ac:dyDescent="0.35">
      <c r="A29" s="411" t="s">
        <v>229</v>
      </c>
      <c r="B29" s="450" t="s">
        <v>230</v>
      </c>
      <c r="C29" s="825">
        <f>'Central 4.10-a'!C29+'South 4.10-b'!C29+'North 4.10-c'!C29</f>
        <v>0</v>
      </c>
      <c r="D29" s="440">
        <f>'Central 4.10-a'!D29+'South 4.10-b'!D29+'North 4.10-c'!D29</f>
        <v>0</v>
      </c>
      <c r="E29" s="813">
        <f t="shared" si="1"/>
        <v>0</v>
      </c>
    </row>
    <row r="30" spans="1:5" x14ac:dyDescent="0.35">
      <c r="A30" s="411" t="s">
        <v>231</v>
      </c>
      <c r="B30" s="450" t="s">
        <v>232</v>
      </c>
      <c r="C30" s="825">
        <f>'Central 4.10-a'!C30+'South 4.10-b'!C30+'North 4.10-c'!C30</f>
        <v>0</v>
      </c>
      <c r="D30" s="440">
        <f>'Central 4.10-a'!D30+'South 4.10-b'!D30+'North 4.10-c'!D30</f>
        <v>0</v>
      </c>
      <c r="E30" s="813">
        <f t="shared" si="1"/>
        <v>0</v>
      </c>
    </row>
    <row r="31" spans="1:5" ht="15" thickBot="1" x14ac:dyDescent="0.4">
      <c r="A31" s="411" t="s">
        <v>233</v>
      </c>
      <c r="B31" s="450" t="s">
        <v>234</v>
      </c>
      <c r="C31" s="814">
        <f>'Central 4.10-a'!C31+'South 4.10-b'!C31+'North 4.10-c'!C31</f>
        <v>0</v>
      </c>
      <c r="D31" s="440">
        <f>'Central 4.10-a'!D31+'South 4.10-b'!D31+'North 4.10-c'!D31</f>
        <v>0</v>
      </c>
      <c r="E31" s="813">
        <f t="shared" si="1"/>
        <v>0</v>
      </c>
    </row>
    <row r="32" spans="1:5" ht="15" thickBot="1" x14ac:dyDescent="0.4">
      <c r="A32" s="421" t="s">
        <v>235</v>
      </c>
      <c r="B32" s="610" t="s">
        <v>236</v>
      </c>
      <c r="C32" s="460">
        <f>SUM(C26:C31)</f>
        <v>0</v>
      </c>
      <c r="D32" s="461">
        <f>SUM(D26:D31)</f>
        <v>0</v>
      </c>
      <c r="E32" s="423">
        <f>SUM(E26:E31)</f>
        <v>0</v>
      </c>
    </row>
    <row r="33" spans="1:5" x14ac:dyDescent="0.35">
      <c r="A33" s="399" t="s">
        <v>237</v>
      </c>
      <c r="B33" s="538"/>
      <c r="C33" s="834"/>
      <c r="D33" s="440"/>
      <c r="E33" s="813"/>
    </row>
    <row r="34" spans="1:5" x14ac:dyDescent="0.35">
      <c r="A34" s="411" t="s">
        <v>238</v>
      </c>
      <c r="B34" s="450" t="s">
        <v>239</v>
      </c>
      <c r="C34" s="825">
        <f>'Central 4.10-a'!C34+'South 4.10-b'!C34+'North 4.10-c'!C34</f>
        <v>0</v>
      </c>
      <c r="D34" s="440">
        <f>'Central 4.10-a'!D34+'South 4.10-b'!D34+'North 4.10-c'!D34</f>
        <v>0</v>
      </c>
      <c r="E34" s="813">
        <f t="shared" ref="E34:E48" si="2">C34+D34</f>
        <v>0</v>
      </c>
    </row>
    <row r="35" spans="1:5" x14ac:dyDescent="0.35">
      <c r="A35" s="411" t="s">
        <v>240</v>
      </c>
      <c r="B35" s="450" t="s">
        <v>241</v>
      </c>
      <c r="C35" s="825">
        <f>'Central 4.10-a'!C35+'South 4.10-b'!C35+'North 4.10-c'!C35</f>
        <v>0</v>
      </c>
      <c r="D35" s="440">
        <f>'Central 4.10-a'!D35+'South 4.10-b'!D35+'North 4.10-c'!D35</f>
        <v>0</v>
      </c>
      <c r="E35" s="813">
        <f t="shared" si="2"/>
        <v>0</v>
      </c>
    </row>
    <row r="36" spans="1:5" x14ac:dyDescent="0.35">
      <c r="A36" s="411" t="s">
        <v>242</v>
      </c>
      <c r="B36" s="450" t="s">
        <v>243</v>
      </c>
      <c r="C36" s="825">
        <f>'Central 4.10-a'!C36+'South 4.10-b'!C36+'North 4.10-c'!C36</f>
        <v>0</v>
      </c>
      <c r="D36" s="440">
        <f>'Central 4.10-a'!D36+'South 4.10-b'!D36+'North 4.10-c'!D36</f>
        <v>0</v>
      </c>
      <c r="E36" s="813">
        <f t="shared" si="2"/>
        <v>0</v>
      </c>
    </row>
    <row r="37" spans="1:5" x14ac:dyDescent="0.35">
      <c r="A37" s="411" t="s">
        <v>244</v>
      </c>
      <c r="B37" s="450" t="s">
        <v>245</v>
      </c>
      <c r="C37" s="825">
        <f>'Central 4.10-a'!C37+'South 4.10-b'!C37+'North 4.10-c'!C37</f>
        <v>0</v>
      </c>
      <c r="D37" s="440">
        <f>'Central 4.10-a'!D37+'South 4.10-b'!D37+'North 4.10-c'!D37</f>
        <v>0</v>
      </c>
      <c r="E37" s="813">
        <f t="shared" si="2"/>
        <v>0</v>
      </c>
    </row>
    <row r="38" spans="1:5" x14ac:dyDescent="0.35">
      <c r="A38" s="411" t="s">
        <v>246</v>
      </c>
      <c r="B38" s="450" t="s">
        <v>247</v>
      </c>
      <c r="C38" s="825">
        <f>'Central 4.10-a'!C38+'South 4.10-b'!C38+'North 4.10-c'!C38</f>
        <v>0</v>
      </c>
      <c r="D38" s="440">
        <f>'Central 4.10-a'!D38+'South 4.10-b'!D38+'North 4.10-c'!D38</f>
        <v>0</v>
      </c>
      <c r="E38" s="813">
        <f t="shared" si="2"/>
        <v>0</v>
      </c>
    </row>
    <row r="39" spans="1:5" x14ac:dyDescent="0.35">
      <c r="A39" s="411" t="s">
        <v>248</v>
      </c>
      <c r="B39" s="450" t="s">
        <v>249</v>
      </c>
      <c r="C39" s="825">
        <f>'Central 4.10-a'!C39+'South 4.10-b'!C39+'North 4.10-c'!C39</f>
        <v>0</v>
      </c>
      <c r="D39" s="440">
        <f>'Central 4.10-a'!D39+'South 4.10-b'!D39+'North 4.10-c'!D39</f>
        <v>0</v>
      </c>
      <c r="E39" s="813">
        <f t="shared" si="2"/>
        <v>0</v>
      </c>
    </row>
    <row r="40" spans="1:5" x14ac:dyDescent="0.35">
      <c r="A40" s="411" t="s">
        <v>250</v>
      </c>
      <c r="B40" s="450" t="s">
        <v>251</v>
      </c>
      <c r="C40" s="825">
        <f>'Central 4.10-a'!C40+'South 4.10-b'!C40+'North 4.10-c'!C40</f>
        <v>0</v>
      </c>
      <c r="D40" s="440">
        <f>'Central 4.10-a'!D40+'South 4.10-b'!D40+'North 4.10-c'!D40</f>
        <v>0</v>
      </c>
      <c r="E40" s="813">
        <f t="shared" si="2"/>
        <v>0</v>
      </c>
    </row>
    <row r="41" spans="1:5" x14ac:dyDescent="0.35">
      <c r="A41" s="411" t="s">
        <v>252</v>
      </c>
      <c r="B41" s="450" t="s">
        <v>253</v>
      </c>
      <c r="C41" s="825">
        <f>'Central 4.10-a'!C41+'South 4.10-b'!C41+'North 4.10-c'!C41</f>
        <v>0</v>
      </c>
      <c r="D41" s="440">
        <f>'Central 4.10-a'!D41+'South 4.10-b'!D41+'North 4.10-c'!D41</f>
        <v>0</v>
      </c>
      <c r="E41" s="813">
        <f t="shared" si="2"/>
        <v>0</v>
      </c>
    </row>
    <row r="42" spans="1:5" x14ac:dyDescent="0.35">
      <c r="A42" s="411" t="s">
        <v>254</v>
      </c>
      <c r="B42" s="450" t="s">
        <v>255</v>
      </c>
      <c r="C42" s="825">
        <f>'Central 4.10-a'!C42+'South 4.10-b'!C42+'North 4.10-c'!C42</f>
        <v>0</v>
      </c>
      <c r="D42" s="440">
        <f>'Central 4.10-a'!D42+'South 4.10-b'!D42+'North 4.10-c'!D42</f>
        <v>0</v>
      </c>
      <c r="E42" s="813">
        <f t="shared" si="2"/>
        <v>0</v>
      </c>
    </row>
    <row r="43" spans="1:5" x14ac:dyDescent="0.35">
      <c r="A43" s="411" t="s">
        <v>256</v>
      </c>
      <c r="B43" s="450" t="s">
        <v>257</v>
      </c>
      <c r="C43" s="825">
        <f>'Central 4.10-a'!C43+'South 4.10-b'!C43+'North 4.10-c'!C43</f>
        <v>0</v>
      </c>
      <c r="D43" s="440">
        <f>'Central 4.10-a'!D43+'South 4.10-b'!D43+'North 4.10-c'!D43</f>
        <v>0</v>
      </c>
      <c r="E43" s="813">
        <f t="shared" si="2"/>
        <v>0</v>
      </c>
    </row>
    <row r="44" spans="1:5" x14ac:dyDescent="0.35">
      <c r="A44" s="411" t="s">
        <v>258</v>
      </c>
      <c r="B44" s="450" t="s">
        <v>259</v>
      </c>
      <c r="C44" s="825">
        <f>'Central 4.10-a'!C44+'South 4.10-b'!C44+'North 4.10-c'!C44</f>
        <v>0</v>
      </c>
      <c r="D44" s="440">
        <f>'Central 4.10-a'!D44+'South 4.10-b'!D44+'North 4.10-c'!D44</f>
        <v>0</v>
      </c>
      <c r="E44" s="813">
        <f t="shared" si="2"/>
        <v>0</v>
      </c>
    </row>
    <row r="45" spans="1:5" x14ac:dyDescent="0.35">
      <c r="A45" s="411" t="s">
        <v>260</v>
      </c>
      <c r="B45" s="450" t="s">
        <v>261</v>
      </c>
      <c r="C45" s="825">
        <f>'Central 4.10-a'!C45+'South 4.10-b'!C45+'North 4.10-c'!C45</f>
        <v>0</v>
      </c>
      <c r="D45" s="440">
        <f>'Central 4.10-a'!D45+'South 4.10-b'!D45+'North 4.10-c'!D45</f>
        <v>0</v>
      </c>
      <c r="E45" s="813">
        <f t="shared" si="2"/>
        <v>0</v>
      </c>
    </row>
    <row r="46" spans="1:5" x14ac:dyDescent="0.35">
      <c r="A46" s="411" t="s">
        <v>262</v>
      </c>
      <c r="B46" s="450" t="s">
        <v>263</v>
      </c>
      <c r="C46" s="825">
        <f>'Central 4.10-a'!C46+'South 4.10-b'!C46+'North 4.10-c'!C46</f>
        <v>0</v>
      </c>
      <c r="D46" s="440">
        <f>'Central 4.10-a'!D46+'South 4.10-b'!D46+'North 4.10-c'!D46</f>
        <v>0</v>
      </c>
      <c r="E46" s="813">
        <f t="shared" si="2"/>
        <v>0</v>
      </c>
    </row>
    <row r="47" spans="1:5" x14ac:dyDescent="0.35">
      <c r="A47" s="411" t="s">
        <v>264</v>
      </c>
      <c r="B47" s="450" t="s">
        <v>265</v>
      </c>
      <c r="C47" s="825">
        <f>'Central 4.10-a'!C47+'South 4.10-b'!C47+'North 4.10-c'!C47</f>
        <v>0</v>
      </c>
      <c r="D47" s="440">
        <f>'Central 4.10-a'!D47+'South 4.10-b'!D47+'North 4.10-c'!D47</f>
        <v>0</v>
      </c>
      <c r="E47" s="813">
        <f t="shared" si="2"/>
        <v>0</v>
      </c>
    </row>
    <row r="48" spans="1:5" ht="15" thickBot="1" x14ac:dyDescent="0.4">
      <c r="A48" s="411" t="s">
        <v>266</v>
      </c>
      <c r="B48" s="450" t="s">
        <v>267</v>
      </c>
      <c r="C48" s="814">
        <f>'Central 4.10-a'!C48+'South 4.10-b'!C48+'North 4.10-c'!C48</f>
        <v>0</v>
      </c>
      <c r="D48" s="440">
        <f>'Central 4.10-a'!D48+'South 4.10-b'!D48+'North 4.10-c'!D48</f>
        <v>0</v>
      </c>
      <c r="E48" s="813">
        <f t="shared" si="2"/>
        <v>0</v>
      </c>
    </row>
    <row r="49" spans="1:5" ht="15" thickBot="1" x14ac:dyDescent="0.4">
      <c r="A49" s="421" t="s">
        <v>268</v>
      </c>
      <c r="B49" s="610" t="s">
        <v>269</v>
      </c>
      <c r="C49" s="460">
        <f>SUM(C34:C48)</f>
        <v>0</v>
      </c>
      <c r="D49" s="461">
        <f>SUM(D34:D48)</f>
        <v>0</v>
      </c>
      <c r="E49" s="423">
        <f>SUM(E34:E48)</f>
        <v>0</v>
      </c>
    </row>
    <row r="50" spans="1:5" x14ac:dyDescent="0.35">
      <c r="A50" s="399" t="s">
        <v>270</v>
      </c>
      <c r="B50" s="538"/>
      <c r="C50" s="834"/>
      <c r="D50" s="440"/>
      <c r="E50" s="813"/>
    </row>
    <row r="51" spans="1:5" x14ac:dyDescent="0.35">
      <c r="A51" s="411" t="s">
        <v>271</v>
      </c>
      <c r="B51" s="450" t="s">
        <v>272</v>
      </c>
      <c r="C51" s="825">
        <f>'Central 4.10-a'!C51+'South 4.10-b'!C51+'North 4.10-c'!C51</f>
        <v>0</v>
      </c>
      <c r="D51" s="440">
        <f>'Central 4.10-a'!D51+'South 4.10-b'!D51+'North 4.10-c'!D51</f>
        <v>0</v>
      </c>
      <c r="E51" s="813">
        <f t="shared" ref="E51:E65" si="3">C51+D51</f>
        <v>0</v>
      </c>
    </row>
    <row r="52" spans="1:5" x14ac:dyDescent="0.35">
      <c r="A52" s="411" t="s">
        <v>273</v>
      </c>
      <c r="B52" s="450" t="s">
        <v>274</v>
      </c>
      <c r="C52" s="825">
        <f>'Central 4.10-a'!C52+'South 4.10-b'!C52+'North 4.10-c'!C52</f>
        <v>0</v>
      </c>
      <c r="D52" s="440">
        <f>'Central 4.10-a'!D52+'South 4.10-b'!D52+'North 4.10-c'!D52</f>
        <v>0</v>
      </c>
      <c r="E52" s="813">
        <f t="shared" si="3"/>
        <v>0</v>
      </c>
    </row>
    <row r="53" spans="1:5" x14ac:dyDescent="0.35">
      <c r="A53" s="411" t="s">
        <v>275</v>
      </c>
      <c r="B53" s="450" t="s">
        <v>276</v>
      </c>
      <c r="C53" s="825">
        <f>'Central 4.10-a'!C53+'South 4.10-b'!C53+'North 4.10-c'!C53</f>
        <v>0</v>
      </c>
      <c r="D53" s="440">
        <f>'Central 4.10-a'!D53+'South 4.10-b'!D53+'North 4.10-c'!D53</f>
        <v>0</v>
      </c>
      <c r="E53" s="813">
        <f t="shared" si="3"/>
        <v>0</v>
      </c>
    </row>
    <row r="54" spans="1:5" x14ac:dyDescent="0.35">
      <c r="A54" s="411" t="s">
        <v>277</v>
      </c>
      <c r="B54" s="450" t="s">
        <v>278</v>
      </c>
      <c r="C54" s="825">
        <f>'Central 4.10-a'!C54+'South 4.10-b'!C54+'North 4.10-c'!C54</f>
        <v>0</v>
      </c>
      <c r="D54" s="440">
        <f>'Central 4.10-a'!D54+'South 4.10-b'!D54+'North 4.10-c'!D54</f>
        <v>0</v>
      </c>
      <c r="E54" s="813">
        <f t="shared" si="3"/>
        <v>0</v>
      </c>
    </row>
    <row r="55" spans="1:5" x14ac:dyDescent="0.35">
      <c r="A55" s="411" t="s">
        <v>279</v>
      </c>
      <c r="B55" s="450" t="s">
        <v>280</v>
      </c>
      <c r="C55" s="825">
        <f>'Central 4.10-a'!C55+'South 4.10-b'!C55+'North 4.10-c'!C55</f>
        <v>0</v>
      </c>
      <c r="D55" s="440">
        <f>'Central 4.10-a'!D55+'South 4.10-b'!D55+'North 4.10-c'!D55</f>
        <v>0</v>
      </c>
      <c r="E55" s="813">
        <f t="shared" si="3"/>
        <v>0</v>
      </c>
    </row>
    <row r="56" spans="1:5" s="778" customFormat="1" x14ac:dyDescent="0.35">
      <c r="A56" s="411" t="s">
        <v>281</v>
      </c>
      <c r="B56" s="450" t="s">
        <v>282</v>
      </c>
      <c r="C56" s="825">
        <f>'Central 4.10-a'!C56+'South 4.10-b'!C56+'North 4.10-c'!C56</f>
        <v>0</v>
      </c>
      <c r="D56" s="440">
        <f>'Central 4.10-a'!D56+'South 4.10-b'!D56+'North 4.10-c'!D56</f>
        <v>0</v>
      </c>
      <c r="E56" s="813">
        <f t="shared" si="3"/>
        <v>0</v>
      </c>
    </row>
    <row r="57" spans="1:5" x14ac:dyDescent="0.35">
      <c r="A57" s="411" t="s">
        <v>283</v>
      </c>
      <c r="B57" s="450" t="s">
        <v>284</v>
      </c>
      <c r="C57" s="825">
        <f>'Central 4.10-a'!C57+'South 4.10-b'!C57+'North 4.10-c'!C57</f>
        <v>0</v>
      </c>
      <c r="D57" s="440">
        <f>'Central 4.10-a'!D57+'South 4.10-b'!D57+'North 4.10-c'!D57</f>
        <v>0</v>
      </c>
      <c r="E57" s="813">
        <f t="shared" si="3"/>
        <v>0</v>
      </c>
    </row>
    <row r="58" spans="1:5" s="778" customFormat="1" x14ac:dyDescent="0.35">
      <c r="A58" s="411" t="s">
        <v>285</v>
      </c>
      <c r="B58" s="450" t="s">
        <v>286</v>
      </c>
      <c r="C58" s="825">
        <f>'Central 4.10-a'!C58+'South 4.10-b'!C58+'North 4.10-c'!C58</f>
        <v>0</v>
      </c>
      <c r="D58" s="440">
        <f>'Central 4.10-a'!D58+'South 4.10-b'!D58+'North 4.10-c'!D58</f>
        <v>0</v>
      </c>
      <c r="E58" s="813">
        <f t="shared" si="3"/>
        <v>0</v>
      </c>
    </row>
    <row r="59" spans="1:5" x14ac:dyDescent="0.35">
      <c r="A59" s="411" t="s">
        <v>287</v>
      </c>
      <c r="B59" s="622" t="s">
        <v>288</v>
      </c>
      <c r="C59" s="825">
        <f>'Central 4.10-a'!C59+'South 4.10-b'!C59+'North 4.10-c'!C59</f>
        <v>0</v>
      </c>
      <c r="D59" s="440">
        <f>'Central 4.10-a'!D59+'South 4.10-b'!D59+'North 4.10-c'!D59</f>
        <v>0</v>
      </c>
      <c r="E59" s="813">
        <f t="shared" si="3"/>
        <v>0</v>
      </c>
    </row>
    <row r="60" spans="1:5" x14ac:dyDescent="0.35">
      <c r="A60" s="411" t="s">
        <v>289</v>
      </c>
      <c r="B60" s="450" t="s">
        <v>290</v>
      </c>
      <c r="C60" s="825">
        <f>'Central 4.10-a'!C60+'South 4.10-b'!C60+'North 4.10-c'!C60</f>
        <v>0</v>
      </c>
      <c r="D60" s="440">
        <f>'Central 4.10-a'!D60+'South 4.10-b'!D60+'North 4.10-c'!D60</f>
        <v>0</v>
      </c>
      <c r="E60" s="813">
        <f t="shared" si="3"/>
        <v>0</v>
      </c>
    </row>
    <row r="61" spans="1:5" x14ac:dyDescent="0.35">
      <c r="A61" s="411" t="s">
        <v>291</v>
      </c>
      <c r="B61" s="450" t="s">
        <v>292</v>
      </c>
      <c r="C61" s="825">
        <f>'Central 4.10-a'!C61+'South 4.10-b'!C61+'North 4.10-c'!C61</f>
        <v>0</v>
      </c>
      <c r="D61" s="440">
        <f>'Central 4.10-a'!D61+'South 4.10-b'!D61+'North 4.10-c'!D61</f>
        <v>0</v>
      </c>
      <c r="E61" s="813">
        <f t="shared" si="3"/>
        <v>0</v>
      </c>
    </row>
    <row r="62" spans="1:5" x14ac:dyDescent="0.35">
      <c r="A62" s="411" t="s">
        <v>293</v>
      </c>
      <c r="B62" s="450" t="s">
        <v>294</v>
      </c>
      <c r="C62" s="825">
        <f>'Central 4.10-a'!C62+'South 4.10-b'!C62+'North 4.10-c'!C62</f>
        <v>0</v>
      </c>
      <c r="D62" s="440">
        <f>'Central 4.10-a'!D62+'South 4.10-b'!D62+'North 4.10-c'!D62</f>
        <v>0</v>
      </c>
      <c r="E62" s="813">
        <f t="shared" si="3"/>
        <v>0</v>
      </c>
    </row>
    <row r="63" spans="1:5" x14ac:dyDescent="0.35">
      <c r="A63" s="411" t="s">
        <v>295</v>
      </c>
      <c r="B63" s="450" t="s">
        <v>296</v>
      </c>
      <c r="C63" s="825">
        <f>'Central 4.10-a'!C63+'South 4.10-b'!C63+'North 4.10-c'!C63</f>
        <v>0</v>
      </c>
      <c r="D63" s="440">
        <f>'Central 4.10-a'!D63+'South 4.10-b'!D63+'North 4.10-c'!D63</f>
        <v>0</v>
      </c>
      <c r="E63" s="813">
        <f t="shared" si="3"/>
        <v>0</v>
      </c>
    </row>
    <row r="64" spans="1:5" x14ac:dyDescent="0.35">
      <c r="A64" s="411" t="s">
        <v>297</v>
      </c>
      <c r="B64" s="450" t="s">
        <v>298</v>
      </c>
      <c r="C64" s="825">
        <f>'Central 4.10-a'!C64+'South 4.10-b'!C64+'North 4.10-c'!C64</f>
        <v>0</v>
      </c>
      <c r="D64" s="440">
        <f>'Central 4.10-a'!D64+'South 4.10-b'!D64+'North 4.10-c'!D64</f>
        <v>0</v>
      </c>
      <c r="E64" s="813">
        <f t="shared" si="3"/>
        <v>0</v>
      </c>
    </row>
    <row r="65" spans="1:5" ht="15" thickBot="1" x14ac:dyDescent="0.4">
      <c r="A65" s="411" t="s">
        <v>299</v>
      </c>
      <c r="B65" s="450" t="s">
        <v>300</v>
      </c>
      <c r="C65" s="814">
        <f>'Central 4.10-a'!C65+'South 4.10-b'!C65+'North 4.10-c'!C65</f>
        <v>0</v>
      </c>
      <c r="D65" s="440">
        <f>'Central 4.10-a'!D65+'South 4.10-b'!D65+'North 4.10-c'!D65</f>
        <v>0</v>
      </c>
      <c r="E65" s="813">
        <f t="shared" si="3"/>
        <v>0</v>
      </c>
    </row>
    <row r="66" spans="1:5" ht="15" thickBot="1" x14ac:dyDescent="0.4">
      <c r="A66" s="421">
        <v>50389</v>
      </c>
      <c r="B66" s="610" t="s">
        <v>301</v>
      </c>
      <c r="C66" s="460">
        <f>SUM(C51:C65)</f>
        <v>0</v>
      </c>
      <c r="D66" s="461">
        <f>SUM(D51:D65)</f>
        <v>0</v>
      </c>
      <c r="E66" s="423">
        <f>SUM(E51:E65)</f>
        <v>0</v>
      </c>
    </row>
    <row r="67" spans="1:5" x14ac:dyDescent="0.35">
      <c r="A67" s="399" t="s">
        <v>302</v>
      </c>
      <c r="B67" s="538"/>
      <c r="C67" s="834"/>
      <c r="D67" s="440"/>
      <c r="E67" s="813"/>
    </row>
    <row r="68" spans="1:5" x14ac:dyDescent="0.35">
      <c r="A68" s="411" t="s">
        <v>303</v>
      </c>
      <c r="B68" s="450" t="s">
        <v>304</v>
      </c>
      <c r="C68" s="825">
        <f>'Central 4.10-a'!C68+'South 4.10-b'!C68+'North 4.10-c'!C68</f>
        <v>0</v>
      </c>
      <c r="D68" s="440">
        <f>'Central 4.10-a'!D68+'South 4.10-b'!D68+'North 4.10-c'!D68</f>
        <v>0</v>
      </c>
      <c r="E68" s="813">
        <f t="shared" ref="E68:E89" si="4">C68+D68</f>
        <v>0</v>
      </c>
    </row>
    <row r="69" spans="1:5" x14ac:dyDescent="0.35">
      <c r="A69" s="411" t="s">
        <v>305</v>
      </c>
      <c r="B69" s="450" t="s">
        <v>306</v>
      </c>
      <c r="C69" s="825">
        <f>'Central 4.10-a'!C69+'South 4.10-b'!C69+'North 4.10-c'!C69</f>
        <v>0</v>
      </c>
      <c r="D69" s="440">
        <f>'Central 4.10-a'!D69+'South 4.10-b'!D69+'North 4.10-c'!D69</f>
        <v>0</v>
      </c>
      <c r="E69" s="813">
        <f t="shared" si="4"/>
        <v>0</v>
      </c>
    </row>
    <row r="70" spans="1:5" x14ac:dyDescent="0.35">
      <c r="A70" s="411" t="s">
        <v>307</v>
      </c>
      <c r="B70" s="450" t="s">
        <v>308</v>
      </c>
      <c r="C70" s="825">
        <f>'Central 4.10-a'!C70+'South 4.10-b'!C70+'North 4.10-c'!C70</f>
        <v>0</v>
      </c>
      <c r="D70" s="440">
        <f>'Central 4.10-a'!D70+'South 4.10-b'!D70+'North 4.10-c'!D70</f>
        <v>0</v>
      </c>
      <c r="E70" s="813">
        <f t="shared" si="4"/>
        <v>0</v>
      </c>
    </row>
    <row r="71" spans="1:5" x14ac:dyDescent="0.35">
      <c r="A71" s="411" t="s">
        <v>309</v>
      </c>
      <c r="B71" s="450" t="s">
        <v>310</v>
      </c>
      <c r="C71" s="825">
        <f>'Central 4.10-a'!C71+'South 4.10-b'!C71+'North 4.10-c'!C71</f>
        <v>0</v>
      </c>
      <c r="D71" s="440">
        <f>'Central 4.10-a'!D71+'South 4.10-b'!D71+'North 4.10-c'!D71</f>
        <v>0</v>
      </c>
      <c r="E71" s="813">
        <f t="shared" si="4"/>
        <v>0</v>
      </c>
    </row>
    <row r="72" spans="1:5" x14ac:dyDescent="0.35">
      <c r="A72" s="411" t="s">
        <v>311</v>
      </c>
      <c r="B72" s="450" t="s">
        <v>312</v>
      </c>
      <c r="C72" s="825">
        <f>'Central 4.10-a'!C72+'South 4.10-b'!C72+'North 4.10-c'!C72</f>
        <v>0</v>
      </c>
      <c r="D72" s="440">
        <f>'Central 4.10-a'!D72+'South 4.10-b'!D72+'North 4.10-c'!D72</f>
        <v>0</v>
      </c>
      <c r="E72" s="813">
        <f t="shared" si="4"/>
        <v>0</v>
      </c>
    </row>
    <row r="73" spans="1:5" x14ac:dyDescent="0.35">
      <c r="A73" s="411" t="s">
        <v>313</v>
      </c>
      <c r="B73" s="450" t="s">
        <v>314</v>
      </c>
      <c r="C73" s="825">
        <f>'Central 4.10-a'!C73+'South 4.10-b'!C73+'North 4.10-c'!C73</f>
        <v>0</v>
      </c>
      <c r="D73" s="440">
        <f>'Central 4.10-a'!D73+'South 4.10-b'!D73+'North 4.10-c'!D73</f>
        <v>0</v>
      </c>
      <c r="E73" s="813">
        <f t="shared" si="4"/>
        <v>0</v>
      </c>
    </row>
    <row r="74" spans="1:5" ht="14.15" customHeight="1" x14ac:dyDescent="0.35">
      <c r="A74" s="411" t="s">
        <v>315</v>
      </c>
      <c r="B74" s="450" t="s">
        <v>316</v>
      </c>
      <c r="C74" s="825">
        <f>'Central 4.10-a'!C74+'South 4.10-b'!C74+'North 4.10-c'!C74</f>
        <v>0</v>
      </c>
      <c r="D74" s="440">
        <f>'Central 4.10-a'!D74+'South 4.10-b'!D74+'North 4.10-c'!D74</f>
        <v>0</v>
      </c>
      <c r="E74" s="813">
        <f t="shared" si="4"/>
        <v>0</v>
      </c>
    </row>
    <row r="75" spans="1:5" s="778" customFormat="1" x14ac:dyDescent="0.35">
      <c r="A75" s="411" t="s">
        <v>317</v>
      </c>
      <c r="B75" s="450" t="s">
        <v>318</v>
      </c>
      <c r="C75" s="825">
        <f>'Central 4.10-a'!C75+'South 4.10-b'!C75+'North 4.10-c'!C75</f>
        <v>0</v>
      </c>
      <c r="D75" s="440">
        <f>'Central 4.10-a'!D75+'South 4.10-b'!D75+'North 4.10-c'!D75</f>
        <v>0</v>
      </c>
      <c r="E75" s="813">
        <f t="shared" si="4"/>
        <v>0</v>
      </c>
    </row>
    <row r="76" spans="1:5" s="778" customFormat="1" x14ac:dyDescent="0.35">
      <c r="A76" s="411" t="s">
        <v>319</v>
      </c>
      <c r="B76" s="450" t="s">
        <v>320</v>
      </c>
      <c r="C76" s="825">
        <f>'Central 4.10-a'!C76+'South 4.10-b'!C76+'North 4.10-c'!C76</f>
        <v>0</v>
      </c>
      <c r="D76" s="440">
        <f>'Central 4.10-a'!D76+'South 4.10-b'!D76+'North 4.10-c'!D76</f>
        <v>0</v>
      </c>
      <c r="E76" s="813">
        <f t="shared" si="4"/>
        <v>0</v>
      </c>
    </row>
    <row r="77" spans="1:5" s="778" customFormat="1" x14ac:dyDescent="0.35">
      <c r="A77" s="411" t="s">
        <v>321</v>
      </c>
      <c r="B77" s="450" t="s">
        <v>322</v>
      </c>
      <c r="C77" s="825">
        <f>'Central 4.10-a'!C77+'South 4.10-b'!C77+'North 4.10-c'!C77</f>
        <v>0</v>
      </c>
      <c r="D77" s="440">
        <f>'Central 4.10-a'!D77+'South 4.10-b'!D77+'North 4.10-c'!D77</f>
        <v>0</v>
      </c>
      <c r="E77" s="813">
        <f t="shared" si="4"/>
        <v>0</v>
      </c>
    </row>
    <row r="78" spans="1:5" s="778" customFormat="1" x14ac:dyDescent="0.35">
      <c r="A78" s="411" t="s">
        <v>323</v>
      </c>
      <c r="B78" s="450" t="s">
        <v>324</v>
      </c>
      <c r="C78" s="825">
        <f>'Central 4.10-a'!C78+'South 4.10-b'!C78+'North 4.10-c'!C78</f>
        <v>0</v>
      </c>
      <c r="D78" s="440">
        <f>'Central 4.10-a'!D78+'South 4.10-b'!D78+'North 4.10-c'!D78</f>
        <v>0</v>
      </c>
      <c r="E78" s="813">
        <f t="shared" si="4"/>
        <v>0</v>
      </c>
    </row>
    <row r="79" spans="1:5" s="778" customFormat="1" x14ac:dyDescent="0.35">
      <c r="A79" s="411" t="s">
        <v>325</v>
      </c>
      <c r="B79" s="450" t="s">
        <v>326</v>
      </c>
      <c r="C79" s="825">
        <f>'Central 4.10-a'!C79+'South 4.10-b'!C79+'North 4.10-c'!C79</f>
        <v>0</v>
      </c>
      <c r="D79" s="440">
        <f>'Central 4.10-a'!D79+'South 4.10-b'!D79+'North 4.10-c'!D79</f>
        <v>0</v>
      </c>
      <c r="E79" s="813">
        <f t="shared" si="4"/>
        <v>0</v>
      </c>
    </row>
    <row r="80" spans="1:5" s="778" customFormat="1" x14ac:dyDescent="0.35">
      <c r="A80" s="411" t="s">
        <v>327</v>
      </c>
      <c r="B80" s="450" t="s">
        <v>328</v>
      </c>
      <c r="C80" s="825">
        <f>'Central 4.10-a'!C80+'South 4.10-b'!C80+'North 4.10-c'!C80</f>
        <v>0</v>
      </c>
      <c r="D80" s="440">
        <f>'Central 4.10-a'!D80+'South 4.10-b'!D80+'North 4.10-c'!D80</f>
        <v>0</v>
      </c>
      <c r="E80" s="813">
        <f t="shared" si="4"/>
        <v>0</v>
      </c>
    </row>
    <row r="81" spans="1:5" s="778" customFormat="1" x14ac:dyDescent="0.35">
      <c r="A81" s="411" t="s">
        <v>329</v>
      </c>
      <c r="B81" s="450" t="s">
        <v>330</v>
      </c>
      <c r="C81" s="825">
        <f>'Central 4.10-a'!C81+'South 4.10-b'!C81+'North 4.10-c'!C81</f>
        <v>0</v>
      </c>
      <c r="D81" s="440">
        <f>'Central 4.10-a'!D81+'South 4.10-b'!D81+'North 4.10-c'!D81</f>
        <v>0</v>
      </c>
      <c r="E81" s="813">
        <f t="shared" si="4"/>
        <v>0</v>
      </c>
    </row>
    <row r="82" spans="1:5" s="778" customFormat="1" x14ac:dyDescent="0.35">
      <c r="A82" s="411" t="s">
        <v>331</v>
      </c>
      <c r="B82" s="450" t="s">
        <v>332</v>
      </c>
      <c r="C82" s="825">
        <f>'Central 4.10-a'!C82+'South 4.10-b'!C82+'North 4.10-c'!C82</f>
        <v>0</v>
      </c>
      <c r="D82" s="440">
        <f>'Central 4.10-a'!D82+'South 4.10-b'!D82+'North 4.10-c'!D82</f>
        <v>0</v>
      </c>
      <c r="E82" s="813">
        <f t="shared" si="4"/>
        <v>0</v>
      </c>
    </row>
    <row r="83" spans="1:5" s="778" customFormat="1" x14ac:dyDescent="0.35">
      <c r="A83" s="411" t="s">
        <v>333</v>
      </c>
      <c r="B83" s="450" t="s">
        <v>334</v>
      </c>
      <c r="C83" s="825">
        <f>'Central 4.10-a'!C83+'South 4.10-b'!C83+'North 4.10-c'!C83</f>
        <v>0</v>
      </c>
      <c r="D83" s="440">
        <f>'Central 4.10-a'!D83+'South 4.10-b'!D83+'North 4.10-c'!D83</f>
        <v>0</v>
      </c>
      <c r="E83" s="813">
        <f>C83+D83</f>
        <v>0</v>
      </c>
    </row>
    <row r="84" spans="1:5" s="778" customFormat="1" x14ac:dyDescent="0.35">
      <c r="A84" s="411" t="s">
        <v>335</v>
      </c>
      <c r="B84" s="450" t="s">
        <v>336</v>
      </c>
      <c r="C84" s="825">
        <f>'Central 4.10-a'!C84+'South 4.10-b'!C84+'North 4.10-c'!C84</f>
        <v>0</v>
      </c>
      <c r="D84" s="440">
        <f>'Central 4.10-a'!D84+'South 4.10-b'!D84+'North 4.10-c'!D84</f>
        <v>0</v>
      </c>
      <c r="E84" s="813">
        <f>C84+D84</f>
        <v>0</v>
      </c>
    </row>
    <row r="85" spans="1:5" s="778" customFormat="1" x14ac:dyDescent="0.35">
      <c r="A85" s="411" t="s">
        <v>337</v>
      </c>
      <c r="B85" s="450" t="s">
        <v>338</v>
      </c>
      <c r="C85" s="825">
        <f>'Central 4.10-a'!C85+'South 4.10-b'!C85+'North 4.10-c'!C85</f>
        <v>0</v>
      </c>
      <c r="D85" s="440">
        <f>'Central 4.10-a'!D85+'South 4.10-b'!D85+'North 4.10-c'!D85</f>
        <v>0</v>
      </c>
      <c r="E85" s="813">
        <f>C85+D85</f>
        <v>0</v>
      </c>
    </row>
    <row r="86" spans="1:5" s="778" customFormat="1" x14ac:dyDescent="0.35">
      <c r="A86" s="451" t="s">
        <v>339</v>
      </c>
      <c r="B86" s="452" t="s">
        <v>340</v>
      </c>
      <c r="C86" s="842">
        <f>'Central 4.10-a'!C86+'South 4.10-b'!C86+'North 4.10-c'!C86</f>
        <v>0</v>
      </c>
      <c r="D86" s="843">
        <f>'Central 4.10-a'!D86+'South 4.10-b'!D86+'North 4.10-c'!D86</f>
        <v>0</v>
      </c>
      <c r="E86" s="824">
        <f>C86+D86</f>
        <v>0</v>
      </c>
    </row>
    <row r="87" spans="1:5" s="778" customFormat="1" ht="15" thickBot="1" x14ac:dyDescent="0.4">
      <c r="A87" s="411" t="s">
        <v>341</v>
      </c>
      <c r="B87" s="450" t="s">
        <v>342</v>
      </c>
      <c r="C87" s="825">
        <f>'Central 4.10-a'!C87+'South 4.10-b'!C87+'North 4.10-c'!C87</f>
        <v>0</v>
      </c>
      <c r="D87" s="440">
        <f>'Central 4.10-a'!D87+'South 4.10-b'!D87+'North 4.10-c'!D87</f>
        <v>0</v>
      </c>
      <c r="E87" s="813">
        <f t="shared" si="4"/>
        <v>0</v>
      </c>
    </row>
    <row r="88" spans="1:5" s="778" customFormat="1" ht="15" thickBot="1" x14ac:dyDescent="0.4">
      <c r="A88" s="421">
        <v>50399</v>
      </c>
      <c r="B88" s="610" t="s">
        <v>343</v>
      </c>
      <c r="C88" s="460">
        <f>SUM(C68:C82)+C86+C87</f>
        <v>0</v>
      </c>
      <c r="D88" s="461">
        <f>SUM(D68:D82)+D86+D87</f>
        <v>0</v>
      </c>
      <c r="E88" s="423">
        <f>SUM(E68:E82)+E86+E87</f>
        <v>0</v>
      </c>
    </row>
    <row r="89" spans="1:5" s="778" customFormat="1" ht="15" thickBot="1" x14ac:dyDescent="0.4">
      <c r="A89" s="411" t="s">
        <v>344</v>
      </c>
      <c r="B89" s="450" t="s">
        <v>345</v>
      </c>
      <c r="C89" s="844">
        <f>'Central 4.10-a'!C89+'South 4.10-b'!C89+'North 4.10-c'!C89</f>
        <v>0</v>
      </c>
      <c r="D89" s="484">
        <f>'Central 4.10-a'!D89+'South 4.10-b'!D89+'North 4.10-c'!D89</f>
        <v>0</v>
      </c>
      <c r="E89" s="813">
        <f t="shared" si="4"/>
        <v>0</v>
      </c>
    </row>
    <row r="90" spans="1:5" s="778" customFormat="1" ht="15" thickBot="1" x14ac:dyDescent="0.4">
      <c r="A90" s="421">
        <v>59999</v>
      </c>
      <c r="B90" s="610" t="s">
        <v>346</v>
      </c>
      <c r="C90" s="460">
        <f>C32+C49+C66+C88+C89</f>
        <v>0</v>
      </c>
      <c r="D90" s="461">
        <f>D32+D49+D66+D88+D89</f>
        <v>0</v>
      </c>
      <c r="E90" s="423">
        <f>E32+E49+E66+E88+E89</f>
        <v>0</v>
      </c>
    </row>
    <row r="91" spans="1:5" s="778" customFormat="1" x14ac:dyDescent="0.35">
      <c r="A91" s="458" t="s">
        <v>347</v>
      </c>
      <c r="B91" s="538"/>
      <c r="C91" s="825"/>
      <c r="D91" s="440"/>
      <c r="E91" s="813"/>
    </row>
    <row r="92" spans="1:5" x14ac:dyDescent="0.35">
      <c r="A92" s="411" t="s">
        <v>348</v>
      </c>
      <c r="B92" s="450" t="s">
        <v>349</v>
      </c>
      <c r="C92" s="825">
        <f>'Central 4.10-a'!C92+'South 4.10-b'!C92+'North 4.10-c'!C92</f>
        <v>0</v>
      </c>
      <c r="D92" s="440">
        <f>'Central 4.10-a'!D92+'South 4.10-b'!D92+'North 4.10-c'!D92</f>
        <v>0</v>
      </c>
      <c r="E92" s="813">
        <f t="shared" ref="E92:E96" si="5">SUM(C92:D92)</f>
        <v>0</v>
      </c>
    </row>
    <row r="93" spans="1:5" x14ac:dyDescent="0.35">
      <c r="A93" s="411" t="s">
        <v>350</v>
      </c>
      <c r="B93" s="450" t="s">
        <v>351</v>
      </c>
      <c r="C93" s="825">
        <f>'Central 4.10-a'!C93+'South 4.10-b'!C93+'North 4.10-c'!C93</f>
        <v>0</v>
      </c>
      <c r="D93" s="440">
        <f>'Central 4.10-a'!D93+'South 4.10-b'!D93+'North 4.10-c'!D93</f>
        <v>0</v>
      </c>
      <c r="E93" s="813">
        <f t="shared" si="5"/>
        <v>0</v>
      </c>
    </row>
    <row r="94" spans="1:5" x14ac:dyDescent="0.35">
      <c r="A94" s="411" t="s">
        <v>352</v>
      </c>
      <c r="B94" s="450" t="s">
        <v>353</v>
      </c>
      <c r="C94" s="825">
        <f>'Central 4.10-a'!C94+'South 4.10-b'!C94+'North 4.10-c'!C94</f>
        <v>0</v>
      </c>
      <c r="D94" s="440">
        <f>'Central 4.10-a'!D94+'South 4.10-b'!D94+'North 4.10-c'!D94</f>
        <v>0</v>
      </c>
      <c r="E94" s="813">
        <f t="shared" si="5"/>
        <v>0</v>
      </c>
    </row>
    <row r="95" spans="1:5" x14ac:dyDescent="0.35">
      <c r="A95" s="411" t="s">
        <v>354</v>
      </c>
      <c r="B95" s="450" t="s">
        <v>355</v>
      </c>
      <c r="C95" s="825">
        <f>'Central 4.10-a'!C95+'South 4.10-b'!C95+'North 4.10-c'!C95</f>
        <v>0</v>
      </c>
      <c r="D95" s="440">
        <f>'Central 4.10-a'!D95+'South 4.10-b'!D95+'North 4.10-c'!D95</f>
        <v>0</v>
      </c>
      <c r="E95" s="813">
        <f t="shared" si="5"/>
        <v>0</v>
      </c>
    </row>
    <row r="96" spans="1:5" ht="15" thickBot="1" x14ac:dyDescent="0.4">
      <c r="A96" s="411" t="s">
        <v>356</v>
      </c>
      <c r="B96" s="450" t="s">
        <v>357</v>
      </c>
      <c r="C96" s="814">
        <f>'Central 4.10-a'!C96+'South 4.10-b'!C96+'North 4.10-c'!C96</f>
        <v>0</v>
      </c>
      <c r="D96" s="440">
        <f>'Central 4.10-a'!D96+'South 4.10-b'!D96+'North 4.10-c'!D96</f>
        <v>0</v>
      </c>
      <c r="E96" s="813">
        <f t="shared" si="5"/>
        <v>0</v>
      </c>
    </row>
    <row r="97" spans="1:5" ht="17.25" customHeight="1" thickBot="1" x14ac:dyDescent="0.4">
      <c r="A97" s="421">
        <v>85999</v>
      </c>
      <c r="B97" s="610" t="s">
        <v>358</v>
      </c>
      <c r="C97" s="460">
        <f>C90+SUM(C92:C96)</f>
        <v>0</v>
      </c>
      <c r="D97" s="461">
        <f>D90+SUM(D92:D96)</f>
        <v>0</v>
      </c>
      <c r="E97" s="423">
        <f>E90+SUM(E92:E96)</f>
        <v>0</v>
      </c>
    </row>
    <row r="98" spans="1:5" x14ac:dyDescent="0.35">
      <c r="A98" s="399" t="s">
        <v>359</v>
      </c>
      <c r="B98" s="538"/>
      <c r="C98" s="834"/>
      <c r="D98" s="440"/>
      <c r="E98" s="813"/>
    </row>
    <row r="99" spans="1:5" x14ac:dyDescent="0.35">
      <c r="A99" s="411" t="s">
        <v>360</v>
      </c>
      <c r="B99" s="450" t="s">
        <v>361</v>
      </c>
      <c r="C99" s="825">
        <f>'Central 4.10-a'!C99+'South 4.10-b'!C99+'North 4.10-c'!C99</f>
        <v>0</v>
      </c>
      <c r="D99" s="440">
        <f>'Central 4.10-a'!D99+'South 4.10-b'!D99+'North 4.10-c'!D99</f>
        <v>0</v>
      </c>
      <c r="E99" s="813">
        <f t="shared" ref="E99:E118" si="6">C99+D99</f>
        <v>0</v>
      </c>
    </row>
    <row r="100" spans="1:5" ht="15" customHeight="1" x14ac:dyDescent="0.35">
      <c r="A100" s="411" t="s">
        <v>362</v>
      </c>
      <c r="B100" s="450" t="s">
        <v>363</v>
      </c>
      <c r="C100" s="825">
        <f>'Central 4.10-a'!C100+'South 4.10-b'!C100+'North 4.10-c'!C100</f>
        <v>0</v>
      </c>
      <c r="D100" s="440">
        <f>'Central 4.10-a'!D100+'South 4.10-b'!D100+'North 4.10-c'!D100</f>
        <v>0</v>
      </c>
      <c r="E100" s="813">
        <f t="shared" si="6"/>
        <v>0</v>
      </c>
    </row>
    <row r="101" spans="1:5" ht="13.5" customHeight="1" x14ac:dyDescent="0.35">
      <c r="A101" s="411" t="s">
        <v>364</v>
      </c>
      <c r="B101" s="450" t="s">
        <v>365</v>
      </c>
      <c r="C101" s="825">
        <f>'Central 4.10-a'!C101+'South 4.10-b'!C101+'North 4.10-c'!C101</f>
        <v>0</v>
      </c>
      <c r="D101" s="440">
        <f>'Central 4.10-a'!D101+'South 4.10-b'!D101+'North 4.10-c'!D101</f>
        <v>0</v>
      </c>
      <c r="E101" s="813">
        <f t="shared" si="6"/>
        <v>0</v>
      </c>
    </row>
    <row r="102" spans="1:5" ht="13.5" customHeight="1" x14ac:dyDescent="0.35">
      <c r="A102" s="411" t="s">
        <v>366</v>
      </c>
      <c r="B102" s="450" t="s">
        <v>367</v>
      </c>
      <c r="C102" s="825">
        <f>'Central 4.10-a'!C102+'South 4.10-b'!C102+'North 4.10-c'!C102</f>
        <v>0</v>
      </c>
      <c r="D102" s="440">
        <f>'Central 4.10-a'!D102+'South 4.10-b'!D102+'North 4.10-c'!D102</f>
        <v>0</v>
      </c>
      <c r="E102" s="813">
        <f t="shared" si="6"/>
        <v>0</v>
      </c>
    </row>
    <row r="103" spans="1:5" ht="13.5" customHeight="1" x14ac:dyDescent="0.35">
      <c r="A103" s="411" t="s">
        <v>368</v>
      </c>
      <c r="B103" s="450" t="s">
        <v>369</v>
      </c>
      <c r="C103" s="825">
        <f>'Central 4.10-a'!C103+'South 4.10-b'!C103+'North 4.10-c'!C103</f>
        <v>0</v>
      </c>
      <c r="D103" s="440">
        <f>'Central 4.10-a'!D103+'South 4.10-b'!D103+'North 4.10-c'!D103</f>
        <v>0</v>
      </c>
      <c r="E103" s="813">
        <f t="shared" si="6"/>
        <v>0</v>
      </c>
    </row>
    <row r="104" spans="1:5" x14ac:dyDescent="0.35">
      <c r="A104" s="411" t="s">
        <v>370</v>
      </c>
      <c r="B104" s="450" t="s">
        <v>371</v>
      </c>
      <c r="C104" s="825">
        <f>'Central 4.10-a'!C104+'South 4.10-b'!C104+'North 4.10-c'!C104</f>
        <v>0</v>
      </c>
      <c r="D104" s="440">
        <f>'Central 4.10-a'!D104+'South 4.10-b'!D104+'North 4.10-c'!D104</f>
        <v>0</v>
      </c>
      <c r="E104" s="813">
        <f t="shared" si="6"/>
        <v>0</v>
      </c>
    </row>
    <row r="105" spans="1:5" x14ac:dyDescent="0.35">
      <c r="A105" s="411" t="s">
        <v>372</v>
      </c>
      <c r="B105" s="450" t="s">
        <v>373</v>
      </c>
      <c r="C105" s="825">
        <f>'Central 4.10-a'!C105+'South 4.10-b'!C105+'North 4.10-c'!C105</f>
        <v>0</v>
      </c>
      <c r="D105" s="440">
        <f>'Central 4.10-a'!D105+'South 4.10-b'!D105+'North 4.10-c'!D105</f>
        <v>0</v>
      </c>
      <c r="E105" s="813">
        <f t="shared" si="6"/>
        <v>0</v>
      </c>
    </row>
    <row r="106" spans="1:5" x14ac:dyDescent="0.35">
      <c r="A106" s="411" t="s">
        <v>374</v>
      </c>
      <c r="B106" s="450" t="s">
        <v>375</v>
      </c>
      <c r="C106" s="825">
        <f>'Central 4.10-a'!C106+'South 4.10-b'!C106+'North 4.10-c'!C106</f>
        <v>0</v>
      </c>
      <c r="D106" s="440">
        <f>'Central 4.10-a'!D106+'South 4.10-b'!D106+'North 4.10-c'!D106</f>
        <v>0</v>
      </c>
      <c r="E106" s="813">
        <f t="shared" si="6"/>
        <v>0</v>
      </c>
    </row>
    <row r="107" spans="1:5" x14ac:dyDescent="0.35">
      <c r="A107" s="411" t="s">
        <v>376</v>
      </c>
      <c r="B107" s="450" t="s">
        <v>377</v>
      </c>
      <c r="C107" s="825">
        <f>'Central 4.10-a'!C107+'South 4.10-b'!C107+'North 4.10-c'!C107</f>
        <v>0</v>
      </c>
      <c r="D107" s="440">
        <f>'Central 4.10-a'!D107+'South 4.10-b'!D107+'North 4.10-c'!D107</f>
        <v>0</v>
      </c>
      <c r="E107" s="813">
        <f t="shared" si="6"/>
        <v>0</v>
      </c>
    </row>
    <row r="108" spans="1:5" x14ac:dyDescent="0.35">
      <c r="A108" s="411" t="s">
        <v>378</v>
      </c>
      <c r="B108" s="450" t="s">
        <v>379</v>
      </c>
      <c r="C108" s="825">
        <f>'Central 4.10-a'!C108+'South 4.10-b'!C108+'North 4.10-c'!C108</f>
        <v>0</v>
      </c>
      <c r="D108" s="440">
        <f>'Central 4.10-a'!D108+'South 4.10-b'!D108+'North 4.10-c'!D108</f>
        <v>0</v>
      </c>
      <c r="E108" s="813">
        <f t="shared" si="6"/>
        <v>0</v>
      </c>
    </row>
    <row r="109" spans="1:5" x14ac:dyDescent="0.35">
      <c r="A109" s="411" t="s">
        <v>380</v>
      </c>
      <c r="B109" s="450" t="s">
        <v>381</v>
      </c>
      <c r="C109" s="825">
        <f>'Central 4.10-a'!C109+'South 4.10-b'!C109+'North 4.10-c'!C109</f>
        <v>0</v>
      </c>
      <c r="D109" s="440">
        <f>'Central 4.10-a'!D109+'South 4.10-b'!D109+'North 4.10-c'!D109</f>
        <v>0</v>
      </c>
      <c r="E109" s="813">
        <f t="shared" si="6"/>
        <v>0</v>
      </c>
    </row>
    <row r="110" spans="1:5" x14ac:dyDescent="0.35">
      <c r="A110" s="411" t="s">
        <v>382</v>
      </c>
      <c r="B110" s="450" t="s">
        <v>383</v>
      </c>
      <c r="C110" s="825">
        <f>'Central 4.10-a'!C110+'South 4.10-b'!C110+'North 4.10-c'!C110</f>
        <v>0</v>
      </c>
      <c r="D110" s="440">
        <f>'Central 4.10-a'!D110+'South 4.10-b'!D110+'North 4.10-c'!D110</f>
        <v>0</v>
      </c>
      <c r="E110" s="813">
        <f t="shared" si="6"/>
        <v>0</v>
      </c>
    </row>
    <row r="111" spans="1:5" x14ac:dyDescent="0.35">
      <c r="A111" s="411" t="s">
        <v>384</v>
      </c>
      <c r="B111" s="450" t="s">
        <v>385</v>
      </c>
      <c r="C111" s="825">
        <f>'Central 4.10-a'!C111+'South 4.10-b'!C111+'North 4.10-c'!C111</f>
        <v>0</v>
      </c>
      <c r="D111" s="440">
        <f>'Central 4.10-a'!D111+'South 4.10-b'!D111+'North 4.10-c'!D111</f>
        <v>0</v>
      </c>
      <c r="E111" s="813">
        <f t="shared" si="6"/>
        <v>0</v>
      </c>
    </row>
    <row r="112" spans="1:5" x14ac:dyDescent="0.35">
      <c r="A112" s="411" t="s">
        <v>386</v>
      </c>
      <c r="B112" s="450" t="s">
        <v>387</v>
      </c>
      <c r="C112" s="825">
        <f>'Central 4.10-a'!C112+'South 4.10-b'!C112+'North 4.10-c'!C112</f>
        <v>0</v>
      </c>
      <c r="D112" s="440">
        <f>'Central 4.10-a'!D112+'South 4.10-b'!D112+'North 4.10-c'!D112</f>
        <v>0</v>
      </c>
      <c r="E112" s="813">
        <f t="shared" si="6"/>
        <v>0</v>
      </c>
    </row>
    <row r="113" spans="1:5" x14ac:dyDescent="0.35">
      <c r="A113" s="411" t="s">
        <v>388</v>
      </c>
      <c r="B113" s="450" t="s">
        <v>389</v>
      </c>
      <c r="C113" s="825">
        <f>'Central 4.10-a'!C113+'South 4.10-b'!C113+'North 4.10-c'!C113</f>
        <v>0</v>
      </c>
      <c r="D113" s="440">
        <f>'Central 4.10-a'!D113+'South 4.10-b'!D113+'North 4.10-c'!D113</f>
        <v>0</v>
      </c>
      <c r="E113" s="813">
        <f t="shared" si="6"/>
        <v>0</v>
      </c>
    </row>
    <row r="114" spans="1:5" x14ac:dyDescent="0.35">
      <c r="A114" s="411" t="s">
        <v>390</v>
      </c>
      <c r="B114" s="450" t="s">
        <v>391</v>
      </c>
      <c r="C114" s="825">
        <f>'Central 4.10-a'!C114+'South 4.10-b'!C114+'North 4.10-c'!C114</f>
        <v>0</v>
      </c>
      <c r="D114" s="440">
        <f>'Central 4.10-a'!D114+'South 4.10-b'!D114+'North 4.10-c'!D114</f>
        <v>0</v>
      </c>
      <c r="E114" s="813">
        <f t="shared" si="6"/>
        <v>0</v>
      </c>
    </row>
    <row r="115" spans="1:5" x14ac:dyDescent="0.35">
      <c r="A115" s="411" t="s">
        <v>392</v>
      </c>
      <c r="B115" s="631" t="s">
        <v>393</v>
      </c>
      <c r="C115" s="825">
        <f>'Central 4.10-a'!C115+'South 4.10-b'!C115+'North 4.10-c'!C115</f>
        <v>0</v>
      </c>
      <c r="D115" s="440">
        <f>'Central 4.10-a'!D115+'South 4.10-b'!D115+'North 4.10-c'!D115</f>
        <v>0</v>
      </c>
      <c r="E115" s="813">
        <f t="shared" si="6"/>
        <v>0</v>
      </c>
    </row>
    <row r="116" spans="1:5" x14ac:dyDescent="0.35">
      <c r="A116" s="411" t="s">
        <v>394</v>
      </c>
      <c r="B116" s="631" t="s">
        <v>395</v>
      </c>
      <c r="C116" s="825">
        <f>'Central 4.10-a'!C116+'South 4.10-b'!C116+'North 4.10-c'!C116</f>
        <v>0</v>
      </c>
      <c r="D116" s="440">
        <f>'Central 4.10-a'!D116+'South 4.10-b'!D116+'North 4.10-c'!D116</f>
        <v>0</v>
      </c>
      <c r="E116" s="813">
        <f t="shared" si="6"/>
        <v>0</v>
      </c>
    </row>
    <row r="117" spans="1:5" ht="13.5" customHeight="1" x14ac:dyDescent="0.35">
      <c r="A117" s="411" t="s">
        <v>396</v>
      </c>
      <c r="B117" s="450" t="s">
        <v>397</v>
      </c>
      <c r="C117" s="825">
        <f>'Central 4.10-a'!C117+'South 4.10-b'!C117+'North 4.10-c'!C117</f>
        <v>0</v>
      </c>
      <c r="D117" s="440">
        <f>'Central 4.10-a'!D117+'South 4.10-b'!D117+'North 4.10-c'!D117</f>
        <v>0</v>
      </c>
      <c r="E117" s="813">
        <f t="shared" si="6"/>
        <v>0</v>
      </c>
    </row>
    <row r="118" spans="1:5" ht="13.5" customHeight="1" thickBot="1" x14ac:dyDescent="0.4">
      <c r="A118" s="411" t="s">
        <v>398</v>
      </c>
      <c r="B118" s="450" t="s">
        <v>399</v>
      </c>
      <c r="C118" s="814">
        <f>'Central 4.10-a'!C118+'South 4.10-b'!C118+'North 4.10-c'!C118</f>
        <v>0</v>
      </c>
      <c r="D118" s="440">
        <f>'Central 4.10-a'!D118+'South 4.10-b'!D118+'North 4.10-c'!D118</f>
        <v>0</v>
      </c>
      <c r="E118" s="813">
        <f t="shared" si="6"/>
        <v>0</v>
      </c>
    </row>
    <row r="119" spans="1:5" ht="13.5" customHeight="1" thickBot="1" x14ac:dyDescent="0.4">
      <c r="A119" s="421">
        <v>84999</v>
      </c>
      <c r="B119" s="610" t="s">
        <v>400</v>
      </c>
      <c r="C119" s="460">
        <f>SUM(C99:C118)</f>
        <v>0</v>
      </c>
      <c r="D119" s="461">
        <f>SUM(D99:D118)</f>
        <v>0</v>
      </c>
      <c r="E119" s="423">
        <f>SUM(E99:E118)</f>
        <v>0</v>
      </c>
    </row>
    <row r="120" spans="1:5" ht="13.5" customHeight="1" x14ac:dyDescent="0.35">
      <c r="C120" s="808"/>
      <c r="D120" s="809"/>
      <c r="E120" s="810"/>
    </row>
    <row r="121" spans="1:5" ht="13.5" customHeight="1" thickBot="1" x14ac:dyDescent="0.4">
      <c r="A121" s="1351" t="s">
        <v>401</v>
      </c>
      <c r="B121" s="521" t="s">
        <v>402</v>
      </c>
      <c r="C121" s="825">
        <f>'Central 4.10-a'!C121+'South 4.10-b'!C121+'North 4.10-c'!C121</f>
        <v>0</v>
      </c>
      <c r="D121" s="440">
        <f>'Central 4.10-a'!D121+'South 4.10-b'!D121+'North 4.10-c'!D121</f>
        <v>0</v>
      </c>
      <c r="E121" s="813">
        <f t="shared" ref="E121" si="7">C121+D121</f>
        <v>0</v>
      </c>
    </row>
    <row r="122" spans="1:5" ht="13.5" customHeight="1" thickBot="1" x14ac:dyDescent="0.4">
      <c r="A122" s="421">
        <v>86999</v>
      </c>
      <c r="B122" s="633" t="s">
        <v>403</v>
      </c>
      <c r="C122" s="460">
        <f>C97+C119+C121</f>
        <v>0</v>
      </c>
      <c r="D122" s="461">
        <f>D97+D119+D121</f>
        <v>0</v>
      </c>
      <c r="E122" s="423">
        <f>E97+E119+E121</f>
        <v>0</v>
      </c>
    </row>
    <row r="123" spans="1:5" ht="13.5" customHeight="1" x14ac:dyDescent="0.35">
      <c r="A123" s="817"/>
      <c r="B123" s="818"/>
      <c r="C123" s="819"/>
      <c r="D123" s="820"/>
      <c r="E123" s="821"/>
    </row>
    <row r="124" spans="1:5" ht="13.5" customHeight="1" x14ac:dyDescent="0.35">
      <c r="A124" s="470">
        <v>87999</v>
      </c>
      <c r="B124" s="471" t="s">
        <v>404</v>
      </c>
      <c r="C124" s="822">
        <f>(C24-C21)-C122</f>
        <v>0</v>
      </c>
      <c r="D124" s="823">
        <f>(D24-D21)-D122</f>
        <v>0</v>
      </c>
      <c r="E124" s="824">
        <f>(E24-E21)-E122</f>
        <v>0</v>
      </c>
    </row>
    <row r="125" spans="1:5" ht="15" customHeight="1" x14ac:dyDescent="0.35">
      <c r="A125" s="480" t="s">
        <v>405</v>
      </c>
      <c r="B125" s="481" t="s">
        <v>406</v>
      </c>
      <c r="C125" s="819">
        <f>C21</f>
        <v>0</v>
      </c>
      <c r="D125" s="820">
        <f>D21</f>
        <v>0</v>
      </c>
      <c r="E125" s="813">
        <f>C125+D125</f>
        <v>0</v>
      </c>
    </row>
    <row r="126" spans="1:5" ht="15" customHeight="1" x14ac:dyDescent="0.35">
      <c r="A126" s="480" t="s">
        <v>407</v>
      </c>
      <c r="B126" s="481" t="s">
        <v>408</v>
      </c>
      <c r="C126" s="825">
        <f>'Central 4.10-a'!C126+'South 4.10-b'!C126+'North 4.10-c'!C126</f>
        <v>0</v>
      </c>
      <c r="D126" s="440">
        <f>'Central 4.10-a'!D126+'South 4.10-b'!D126+'North 4.10-c'!D126</f>
        <v>0</v>
      </c>
      <c r="E126" s="813">
        <f>C126+D126</f>
        <v>0</v>
      </c>
    </row>
    <row r="127" spans="1:5" ht="15" customHeight="1" x14ac:dyDescent="0.35">
      <c r="A127" s="470">
        <v>88999</v>
      </c>
      <c r="B127" s="471" t="s">
        <v>409</v>
      </c>
      <c r="C127" s="822">
        <f>C125+C126</f>
        <v>0</v>
      </c>
      <c r="D127" s="823">
        <f>D125+D126</f>
        <v>0</v>
      </c>
      <c r="E127" s="824">
        <f>C127+D127</f>
        <v>0</v>
      </c>
    </row>
    <row r="128" spans="1:5" ht="15" thickBot="1" x14ac:dyDescent="0.4">
      <c r="A128" s="493"/>
      <c r="B128" s="494"/>
      <c r="C128" s="825"/>
      <c r="D128" s="440"/>
      <c r="E128" s="816"/>
    </row>
    <row r="129" spans="1:5" ht="15" thickBot="1" x14ac:dyDescent="0.4">
      <c r="A129" s="421">
        <v>89999</v>
      </c>
      <c r="B129" s="610" t="s">
        <v>410</v>
      </c>
      <c r="C129" s="460">
        <f>C124+C127</f>
        <v>0</v>
      </c>
      <c r="D129" s="461">
        <f>D124+D127</f>
        <v>0</v>
      </c>
      <c r="E129" s="423">
        <f>E124+E127</f>
        <v>0</v>
      </c>
    </row>
    <row r="130" spans="1:5" x14ac:dyDescent="0.35">
      <c r="C130" s="808"/>
      <c r="D130" s="809"/>
      <c r="E130" s="810"/>
    </row>
    <row r="131" spans="1:5" x14ac:dyDescent="0.35">
      <c r="A131" s="411" t="s">
        <v>411</v>
      </c>
      <c r="B131" s="412" t="s">
        <v>412</v>
      </c>
      <c r="C131" s="825">
        <f>'Central 4.10-a'!C131+'South 4.10-b'!C131+'North 4.10-c'!C131</f>
        <v>0</v>
      </c>
      <c r="D131" s="845">
        <f>'Central 4.10-a'!D131+'South 4.10-b'!D131+'North 4.10-c'!D131</f>
        <v>0</v>
      </c>
      <c r="E131" s="813">
        <f>C131+D131</f>
        <v>0</v>
      </c>
    </row>
    <row r="132" spans="1:5" ht="15" customHeight="1" thickBot="1" x14ac:dyDescent="0.4">
      <c r="A132" s="458"/>
      <c r="B132" s="412"/>
      <c r="C132" s="814"/>
      <c r="D132" s="815"/>
      <c r="E132" s="816"/>
    </row>
    <row r="133" spans="1:5" ht="15" customHeight="1" thickBot="1" x14ac:dyDescent="0.4">
      <c r="A133" s="421">
        <v>99999</v>
      </c>
      <c r="B133" s="610" t="s">
        <v>413</v>
      </c>
      <c r="C133" s="460">
        <f>C129-C131</f>
        <v>0</v>
      </c>
      <c r="D133" s="461">
        <f t="shared" ref="D133:E133" si="8">D129-D131</f>
        <v>0</v>
      </c>
      <c r="E133" s="423">
        <f t="shared" si="8"/>
        <v>0</v>
      </c>
    </row>
    <row r="134" spans="1:5" x14ac:dyDescent="0.35">
      <c r="A134" s="458"/>
      <c r="B134" s="450"/>
      <c r="C134" s="825"/>
      <c r="D134" s="440"/>
      <c r="E134" s="813"/>
    </row>
    <row r="135" spans="1:5" x14ac:dyDescent="0.35">
      <c r="A135" s="411" t="s">
        <v>414</v>
      </c>
      <c r="B135" s="450" t="s">
        <v>415</v>
      </c>
      <c r="C135" s="825">
        <f>'Central 4.10-a'!C135+'South 4.10-b'!C135+'North 4.10-c'!C135</f>
        <v>0</v>
      </c>
      <c r="D135" s="440">
        <f>'Central 4.10-a'!D135+'South 4.10-b'!D135+'North 4.10-c'!D135</f>
        <v>0</v>
      </c>
      <c r="E135" s="813">
        <f>C135+D135</f>
        <v>0</v>
      </c>
    </row>
    <row r="136" spans="1:5" x14ac:dyDescent="0.35">
      <c r="A136" s="411" t="s">
        <v>416</v>
      </c>
      <c r="B136" s="538" t="s">
        <v>417</v>
      </c>
      <c r="C136" s="825">
        <f>'Central 4.10-a'!C136+'South 4.10-b'!C136+'North 4.10-c'!C136</f>
        <v>0</v>
      </c>
      <c r="D136" s="440">
        <f>'Central 4.10-a'!D136+'South 4.10-b'!D136+'North 4.10-c'!D136</f>
        <v>0</v>
      </c>
      <c r="E136" s="813">
        <f>C136+D136</f>
        <v>0</v>
      </c>
    </row>
    <row r="137" spans="1:5" x14ac:dyDescent="0.35">
      <c r="A137" s="411" t="s">
        <v>418</v>
      </c>
      <c r="B137" s="538" t="s">
        <v>419</v>
      </c>
      <c r="C137" s="825">
        <f>'Central 4.10-a'!C137+'South 4.10-b'!C137+'North 4.10-c'!C137</f>
        <v>0</v>
      </c>
      <c r="D137" s="440">
        <f>'Central 4.10-a'!D137+'South 4.10-b'!D137+'North 4.10-c'!D137</f>
        <v>0</v>
      </c>
      <c r="E137" s="813">
        <f>C137+D137</f>
        <v>0</v>
      </c>
    </row>
    <row r="138" spans="1:5" x14ac:dyDescent="0.35">
      <c r="A138" s="411" t="s">
        <v>420</v>
      </c>
      <c r="B138" s="538" t="s">
        <v>421</v>
      </c>
      <c r="C138" s="825">
        <f>'Central 4.10-a'!C138+'South 4.10-b'!C138+'North 4.10-c'!C138</f>
        <v>0</v>
      </c>
      <c r="D138" s="440">
        <f>'Central 4.10-a'!D138+'South 4.10-b'!D138+'North 4.10-c'!D138</f>
        <v>0</v>
      </c>
      <c r="E138" s="813">
        <f>C138+D138</f>
        <v>0</v>
      </c>
    </row>
    <row r="139" spans="1:5" ht="15" thickBot="1" x14ac:dyDescent="0.4">
      <c r="A139" s="458"/>
      <c r="B139" s="450"/>
      <c r="C139" s="825"/>
      <c r="D139" s="440"/>
      <c r="E139" s="813"/>
    </row>
    <row r="140" spans="1:5" ht="15" thickBot="1" x14ac:dyDescent="0.4">
      <c r="A140" s="421">
        <v>999999</v>
      </c>
      <c r="B140" s="610" t="s">
        <v>422</v>
      </c>
      <c r="C140" s="460">
        <f>C133-C135-C136-C137-C138</f>
        <v>0</v>
      </c>
      <c r="D140" s="461">
        <f>D133-D135-D136-D137-D138</f>
        <v>0</v>
      </c>
      <c r="E140" s="423">
        <f>E133-E135-E136-E137-E138</f>
        <v>0</v>
      </c>
    </row>
  </sheetData>
  <printOptions gridLinesSet="0"/>
  <pageMargins left="0.22" right="0.17" top="0.3" bottom="1" header="0.17" footer="0.5"/>
  <pageSetup scale="39" orientation="portrait" r:id="rId1"/>
  <headerFooter alignWithMargins="0">
    <oddFooter>&amp;L&amp;Z&amp;F&amp;A</oddFooter>
  </headerFooter>
  <rowBreaks count="1" manualBreakCount="1">
    <brk id="70" max="20" man="1"/>
  </rowBreaks>
  <ignoredErrors>
    <ignoredError sqref="C9:D12 C21:D23 C25:D31 C90:D91 C98:D98 C125:D125 C128:D128 D127 C130:D130 C134:D134 C14:D19 C33:D74 C132:D132 C119:D119 D124" unlockedFormula="1"/>
    <ignoredError sqref="E124:E131 E87 E20:E82 E89:E119 E132 E134:E252"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8E32-9330-481D-8FFE-F3AF7856A3CC}">
  <sheetPr syncVertical="1" syncRef="A9" transitionEvaluation="1">
    <pageSetUpPr fitToPage="1"/>
  </sheetPr>
  <dimension ref="A1:E140"/>
  <sheetViews>
    <sheetView showGridLines="0" zoomScaleNormal="100" zoomScaleSheetLayoutView="75" workbookViewId="0">
      <pane ySplit="8" topLeftCell="A9" activePane="bottomLeft" state="frozen"/>
      <selection activeCell="E57" sqref="E57"/>
      <selection pane="bottomLeft" activeCell="H15" sqref="H15"/>
    </sheetView>
  </sheetViews>
  <sheetFormatPr defaultColWidth="12.54296875" defaultRowHeight="14.5" x14ac:dyDescent="0.35"/>
  <cols>
    <col min="1" max="1" width="20.54296875" style="778" customWidth="1"/>
    <col min="2" max="2" width="57.54296875" style="778" customWidth="1"/>
    <col min="3" max="5" width="20.54296875" style="780" customWidth="1"/>
    <col min="6" max="16384" width="12.54296875" style="778"/>
  </cols>
  <sheetData>
    <row r="1" spans="1:5" x14ac:dyDescent="0.35">
      <c r="A1" s="1551" t="s">
        <v>753</v>
      </c>
      <c r="B1" s="1552"/>
      <c r="C1" s="1553"/>
      <c r="D1" s="1553"/>
      <c r="E1" s="1554"/>
    </row>
    <row r="2" spans="1:5" s="826" customFormat="1" ht="18.75" customHeight="1" thickBot="1" x14ac:dyDescent="0.3">
      <c r="A2" s="1555" t="s">
        <v>756</v>
      </c>
      <c r="B2" s="1556"/>
      <c r="C2" s="1557"/>
      <c r="D2" s="1556"/>
      <c r="E2" s="1546"/>
    </row>
    <row r="3" spans="1:5" x14ac:dyDescent="0.35">
      <c r="A3" s="779"/>
      <c r="E3" s="781"/>
    </row>
    <row r="4" spans="1:5" x14ac:dyDescent="0.35">
      <c r="A4" s="23" t="s">
        <v>757</v>
      </c>
      <c r="E4" s="781"/>
    </row>
    <row r="5" spans="1:5" s="400" customFormat="1" x14ac:dyDescent="0.35">
      <c r="A5" s="597" t="s">
        <v>45</v>
      </c>
      <c r="B5" s="23" t="str">
        <f>'FS-Balance Sheet 3.04'!B4</f>
        <v>Select Contractor Name</v>
      </c>
    </row>
    <row r="6" spans="1:5" s="400" customFormat="1" x14ac:dyDescent="0.35">
      <c r="A6" s="597" t="s">
        <v>708</v>
      </c>
      <c r="B6" s="40" t="str">
        <f>'FS-Balance Sheet 3.04'!B5</f>
        <v>mm/dd/yyyy</v>
      </c>
    </row>
    <row r="7" spans="1:5" s="400" customFormat="1" ht="12" customHeight="1" thickBot="1" x14ac:dyDescent="0.4">
      <c r="B7" s="524"/>
      <c r="C7" s="782"/>
      <c r="D7" s="782"/>
      <c r="E7" s="782"/>
    </row>
    <row r="8" spans="1:5" s="783" customFormat="1" ht="42" customHeight="1" thickBot="1" x14ac:dyDescent="0.3">
      <c r="A8" s="1547" t="s">
        <v>188</v>
      </c>
      <c r="B8" s="1548" t="s">
        <v>189</v>
      </c>
      <c r="C8" s="1549" t="s">
        <v>190</v>
      </c>
      <c r="D8" s="1550" t="s">
        <v>191</v>
      </c>
      <c r="E8" s="1956" t="s">
        <v>192</v>
      </c>
    </row>
    <row r="9" spans="1:5" s="783" customFormat="1" x14ac:dyDescent="0.35">
      <c r="A9" s="784" t="s">
        <v>193</v>
      </c>
      <c r="B9" s="785" t="s">
        <v>194</v>
      </c>
      <c r="C9" s="827">
        <v>0</v>
      </c>
      <c r="D9" s="828">
        <v>0</v>
      </c>
      <c r="E9" s="813">
        <f>C9+D9</f>
        <v>0</v>
      </c>
    </row>
    <row r="10" spans="1:5" s="783" customFormat="1" x14ac:dyDescent="0.35">
      <c r="A10" s="829" t="s">
        <v>195</v>
      </c>
      <c r="B10" s="830" t="s">
        <v>196</v>
      </c>
      <c r="C10" s="827">
        <v>0</v>
      </c>
      <c r="D10" s="828">
        <v>0</v>
      </c>
      <c r="E10" s="813">
        <f>+C10+D10</f>
        <v>0</v>
      </c>
    </row>
    <row r="11" spans="1:5" s="783" customFormat="1" x14ac:dyDescent="0.35">
      <c r="A11" s="829" t="s">
        <v>197</v>
      </c>
      <c r="B11" s="831" t="s">
        <v>198</v>
      </c>
      <c r="C11" s="827">
        <v>0</v>
      </c>
      <c r="D11" s="828">
        <v>0</v>
      </c>
      <c r="E11" s="813">
        <f>+C11+D11</f>
        <v>0</v>
      </c>
    </row>
    <row r="12" spans="1:5" x14ac:dyDescent="0.35">
      <c r="A12" s="399" t="s">
        <v>199</v>
      </c>
      <c r="B12" s="538"/>
      <c r="C12" s="512"/>
      <c r="D12" s="440"/>
      <c r="E12" s="813"/>
    </row>
    <row r="13" spans="1:5" x14ac:dyDescent="0.35">
      <c r="A13" s="411" t="s">
        <v>200</v>
      </c>
      <c r="B13" s="450" t="s">
        <v>201</v>
      </c>
      <c r="C13" s="487">
        <v>0</v>
      </c>
      <c r="D13" s="414">
        <v>0</v>
      </c>
      <c r="E13" s="813">
        <f t="shared" ref="E13:E23" si="0">C13+D13</f>
        <v>0</v>
      </c>
    </row>
    <row r="14" spans="1:5" x14ac:dyDescent="0.35">
      <c r="A14" s="411" t="s">
        <v>202</v>
      </c>
      <c r="B14" s="450" t="s">
        <v>203</v>
      </c>
      <c r="C14" s="487">
        <v>0</v>
      </c>
      <c r="D14" s="414">
        <v>0</v>
      </c>
      <c r="E14" s="813">
        <f t="shared" si="0"/>
        <v>0</v>
      </c>
    </row>
    <row r="15" spans="1:5" x14ac:dyDescent="0.35">
      <c r="A15" s="411" t="s">
        <v>204</v>
      </c>
      <c r="B15" s="450" t="s">
        <v>205</v>
      </c>
      <c r="C15" s="487">
        <v>0</v>
      </c>
      <c r="D15" s="414">
        <v>0</v>
      </c>
      <c r="E15" s="813">
        <f t="shared" si="0"/>
        <v>0</v>
      </c>
    </row>
    <row r="16" spans="1:5" x14ac:dyDescent="0.35">
      <c r="A16" s="411" t="s">
        <v>206</v>
      </c>
      <c r="B16" s="450" t="s">
        <v>207</v>
      </c>
      <c r="C16" s="487">
        <v>0</v>
      </c>
      <c r="D16" s="414">
        <v>0</v>
      </c>
      <c r="E16" s="813">
        <f t="shared" si="0"/>
        <v>0</v>
      </c>
    </row>
    <row r="17" spans="1:5" x14ac:dyDescent="0.35">
      <c r="A17" s="411" t="s">
        <v>208</v>
      </c>
      <c r="B17" s="450" t="s">
        <v>209</v>
      </c>
      <c r="C17" s="487">
        <v>0</v>
      </c>
      <c r="D17" s="414">
        <v>0</v>
      </c>
      <c r="E17" s="813">
        <f t="shared" si="0"/>
        <v>0</v>
      </c>
    </row>
    <row r="18" spans="1:5" x14ac:dyDescent="0.35">
      <c r="A18" s="411" t="s">
        <v>210</v>
      </c>
      <c r="B18" s="450" t="s">
        <v>211</v>
      </c>
      <c r="C18" s="487">
        <v>0</v>
      </c>
      <c r="D18" s="414">
        <v>0</v>
      </c>
      <c r="E18" s="813">
        <f t="shared" si="0"/>
        <v>0</v>
      </c>
    </row>
    <row r="19" spans="1:5" ht="15" thickBot="1" x14ac:dyDescent="0.4">
      <c r="A19" s="606" t="s">
        <v>212</v>
      </c>
      <c r="B19" s="607" t="s">
        <v>213</v>
      </c>
      <c r="C19" s="832">
        <v>0</v>
      </c>
      <c r="D19" s="414">
        <v>0</v>
      </c>
      <c r="E19" s="813">
        <f t="shared" si="0"/>
        <v>0</v>
      </c>
    </row>
    <row r="20" spans="1:5" ht="15" thickBot="1" x14ac:dyDescent="0.4">
      <c r="A20" s="421">
        <v>40199</v>
      </c>
      <c r="B20" s="610" t="s">
        <v>214</v>
      </c>
      <c r="C20" s="460">
        <f>SUM(C13:C19)</f>
        <v>0</v>
      </c>
      <c r="D20" s="461">
        <f>SUM(D13:D19)</f>
        <v>0</v>
      </c>
      <c r="E20" s="423">
        <f>SUM(E13:E19)</f>
        <v>0</v>
      </c>
    </row>
    <row r="21" spans="1:5" x14ac:dyDescent="0.35">
      <c r="A21" s="411" t="s">
        <v>215</v>
      </c>
      <c r="B21" s="450" t="s">
        <v>216</v>
      </c>
      <c r="C21" s="833">
        <v>0</v>
      </c>
      <c r="D21" s="414">
        <v>0</v>
      </c>
      <c r="E21" s="813">
        <f>C21+D21</f>
        <v>0</v>
      </c>
    </row>
    <row r="22" spans="1:5" x14ac:dyDescent="0.35">
      <c r="A22" s="411" t="s">
        <v>217</v>
      </c>
      <c r="B22" s="615" t="s">
        <v>218</v>
      </c>
      <c r="C22" s="811">
        <v>0</v>
      </c>
      <c r="D22" s="414">
        <v>0</v>
      </c>
      <c r="E22" s="813">
        <f t="shared" si="0"/>
        <v>0</v>
      </c>
    </row>
    <row r="23" spans="1:5" ht="15" thickBot="1" x14ac:dyDescent="0.4">
      <c r="A23" s="411" t="s">
        <v>219</v>
      </c>
      <c r="B23" s="450" t="s">
        <v>220</v>
      </c>
      <c r="C23" s="811">
        <v>0</v>
      </c>
      <c r="D23" s="414">
        <v>0</v>
      </c>
      <c r="E23" s="813">
        <f t="shared" si="0"/>
        <v>0</v>
      </c>
    </row>
    <row r="24" spans="1:5" ht="15" thickBot="1" x14ac:dyDescent="0.4">
      <c r="A24" s="421">
        <v>49999</v>
      </c>
      <c r="B24" s="610" t="s">
        <v>221</v>
      </c>
      <c r="C24" s="460">
        <f>C20+C21+C22+C23</f>
        <v>0</v>
      </c>
      <c r="D24" s="461">
        <f>D20+D21+D22+D23</f>
        <v>0</v>
      </c>
      <c r="E24" s="423">
        <f>E20+E21+E22+E23</f>
        <v>0</v>
      </c>
    </row>
    <row r="25" spans="1:5" x14ac:dyDescent="0.35">
      <c r="A25" s="399" t="s">
        <v>222</v>
      </c>
      <c r="B25" s="538"/>
      <c r="C25" s="834"/>
      <c r="D25" s="440"/>
      <c r="E25" s="813"/>
    </row>
    <row r="26" spans="1:5" x14ac:dyDescent="0.35">
      <c r="A26" s="444" t="s">
        <v>223</v>
      </c>
      <c r="B26" s="450" t="s">
        <v>224</v>
      </c>
      <c r="C26" s="811">
        <v>0</v>
      </c>
      <c r="D26" s="414">
        <v>0</v>
      </c>
      <c r="E26" s="813">
        <f t="shared" ref="E26:E31" si="1">C26+D26</f>
        <v>0</v>
      </c>
    </row>
    <row r="27" spans="1:5" x14ac:dyDescent="0.35">
      <c r="A27" s="445" t="s">
        <v>225</v>
      </c>
      <c r="B27" s="450" t="s">
        <v>226</v>
      </c>
      <c r="C27" s="811">
        <v>0</v>
      </c>
      <c r="D27" s="414">
        <v>0</v>
      </c>
      <c r="E27" s="813">
        <f t="shared" si="1"/>
        <v>0</v>
      </c>
    </row>
    <row r="28" spans="1:5" x14ac:dyDescent="0.35">
      <c r="A28" s="445" t="s">
        <v>227</v>
      </c>
      <c r="B28" s="450" t="s">
        <v>228</v>
      </c>
      <c r="C28" s="811">
        <v>0</v>
      </c>
      <c r="D28" s="414">
        <v>0</v>
      </c>
      <c r="E28" s="813">
        <f t="shared" si="1"/>
        <v>0</v>
      </c>
    </row>
    <row r="29" spans="1:5" x14ac:dyDescent="0.35">
      <c r="A29" s="411" t="s">
        <v>229</v>
      </c>
      <c r="B29" s="450" t="s">
        <v>230</v>
      </c>
      <c r="C29" s="811">
        <v>0</v>
      </c>
      <c r="D29" s="414">
        <v>0</v>
      </c>
      <c r="E29" s="813">
        <f t="shared" si="1"/>
        <v>0</v>
      </c>
    </row>
    <row r="30" spans="1:5" x14ac:dyDescent="0.35">
      <c r="A30" s="411" t="s">
        <v>231</v>
      </c>
      <c r="B30" s="450" t="s">
        <v>232</v>
      </c>
      <c r="C30" s="811">
        <v>0</v>
      </c>
      <c r="D30" s="414">
        <v>0</v>
      </c>
      <c r="E30" s="813">
        <f t="shared" si="1"/>
        <v>0</v>
      </c>
    </row>
    <row r="31" spans="1:5" ht="15" thickBot="1" x14ac:dyDescent="0.4">
      <c r="A31" s="411" t="s">
        <v>233</v>
      </c>
      <c r="B31" s="450" t="s">
        <v>234</v>
      </c>
      <c r="C31" s="835">
        <v>0</v>
      </c>
      <c r="D31" s="414">
        <v>0</v>
      </c>
      <c r="E31" s="813">
        <f t="shared" si="1"/>
        <v>0</v>
      </c>
    </row>
    <row r="32" spans="1:5" ht="15" thickBot="1" x14ac:dyDescent="0.4">
      <c r="A32" s="421" t="s">
        <v>235</v>
      </c>
      <c r="B32" s="610" t="s">
        <v>236</v>
      </c>
      <c r="C32" s="460">
        <f>SUM(C26:C31)</f>
        <v>0</v>
      </c>
      <c r="D32" s="461">
        <f>SUM(D26:D31)</f>
        <v>0</v>
      </c>
      <c r="E32" s="423">
        <f>SUM(E26:E31)</f>
        <v>0</v>
      </c>
    </row>
    <row r="33" spans="1:5" x14ac:dyDescent="0.35">
      <c r="A33" s="399" t="s">
        <v>237</v>
      </c>
      <c r="B33" s="538"/>
      <c r="C33" s="834"/>
      <c r="D33" s="440"/>
      <c r="E33" s="813"/>
    </row>
    <row r="34" spans="1:5" x14ac:dyDescent="0.35">
      <c r="A34" s="411" t="s">
        <v>238</v>
      </c>
      <c r="B34" s="450" t="s">
        <v>239</v>
      </c>
      <c r="C34" s="811">
        <v>0</v>
      </c>
      <c r="D34" s="414">
        <v>0</v>
      </c>
      <c r="E34" s="813">
        <f t="shared" ref="E34:E48" si="2">C34+D34</f>
        <v>0</v>
      </c>
    </row>
    <row r="35" spans="1:5" x14ac:dyDescent="0.35">
      <c r="A35" s="411" t="s">
        <v>240</v>
      </c>
      <c r="B35" s="450" t="s">
        <v>241</v>
      </c>
      <c r="C35" s="811">
        <v>0</v>
      </c>
      <c r="D35" s="414">
        <v>0</v>
      </c>
      <c r="E35" s="813">
        <f t="shared" si="2"/>
        <v>0</v>
      </c>
    </row>
    <row r="36" spans="1:5" x14ac:dyDescent="0.35">
      <c r="A36" s="411" t="s">
        <v>242</v>
      </c>
      <c r="B36" s="450" t="s">
        <v>243</v>
      </c>
      <c r="C36" s="811">
        <v>0</v>
      </c>
      <c r="D36" s="414">
        <v>0</v>
      </c>
      <c r="E36" s="813">
        <f t="shared" si="2"/>
        <v>0</v>
      </c>
    </row>
    <row r="37" spans="1:5" x14ac:dyDescent="0.35">
      <c r="A37" s="411" t="s">
        <v>244</v>
      </c>
      <c r="B37" s="450" t="s">
        <v>245</v>
      </c>
      <c r="C37" s="811">
        <v>0</v>
      </c>
      <c r="D37" s="414">
        <v>0</v>
      </c>
      <c r="E37" s="813">
        <f t="shared" si="2"/>
        <v>0</v>
      </c>
    </row>
    <row r="38" spans="1:5" x14ac:dyDescent="0.35">
      <c r="A38" s="411" t="s">
        <v>246</v>
      </c>
      <c r="B38" s="450" t="s">
        <v>247</v>
      </c>
      <c r="C38" s="811">
        <v>0</v>
      </c>
      <c r="D38" s="414">
        <v>0</v>
      </c>
      <c r="E38" s="813">
        <f t="shared" si="2"/>
        <v>0</v>
      </c>
    </row>
    <row r="39" spans="1:5" x14ac:dyDescent="0.35">
      <c r="A39" s="411" t="s">
        <v>248</v>
      </c>
      <c r="B39" s="450" t="s">
        <v>249</v>
      </c>
      <c r="C39" s="811">
        <v>0</v>
      </c>
      <c r="D39" s="414">
        <v>0</v>
      </c>
      <c r="E39" s="813">
        <f t="shared" si="2"/>
        <v>0</v>
      </c>
    </row>
    <row r="40" spans="1:5" x14ac:dyDescent="0.35">
      <c r="A40" s="411" t="s">
        <v>250</v>
      </c>
      <c r="B40" s="450" t="s">
        <v>251</v>
      </c>
      <c r="C40" s="811">
        <v>0</v>
      </c>
      <c r="D40" s="414">
        <v>0</v>
      </c>
      <c r="E40" s="813">
        <f t="shared" si="2"/>
        <v>0</v>
      </c>
    </row>
    <row r="41" spans="1:5" x14ac:dyDescent="0.35">
      <c r="A41" s="411" t="s">
        <v>252</v>
      </c>
      <c r="B41" s="450" t="s">
        <v>253</v>
      </c>
      <c r="C41" s="811">
        <v>0</v>
      </c>
      <c r="D41" s="414">
        <v>0</v>
      </c>
      <c r="E41" s="813">
        <f t="shared" si="2"/>
        <v>0</v>
      </c>
    </row>
    <row r="42" spans="1:5" x14ac:dyDescent="0.35">
      <c r="A42" s="411" t="s">
        <v>254</v>
      </c>
      <c r="B42" s="450" t="s">
        <v>255</v>
      </c>
      <c r="C42" s="811">
        <v>0</v>
      </c>
      <c r="D42" s="414">
        <v>0</v>
      </c>
      <c r="E42" s="813">
        <f t="shared" si="2"/>
        <v>0</v>
      </c>
    </row>
    <row r="43" spans="1:5" x14ac:dyDescent="0.35">
      <c r="A43" s="411" t="s">
        <v>256</v>
      </c>
      <c r="B43" s="450" t="s">
        <v>257</v>
      </c>
      <c r="C43" s="811">
        <v>0</v>
      </c>
      <c r="D43" s="414">
        <v>0</v>
      </c>
      <c r="E43" s="813">
        <f t="shared" si="2"/>
        <v>0</v>
      </c>
    </row>
    <row r="44" spans="1:5" x14ac:dyDescent="0.35">
      <c r="A44" s="411" t="s">
        <v>258</v>
      </c>
      <c r="B44" s="450" t="s">
        <v>259</v>
      </c>
      <c r="C44" s="811">
        <v>0</v>
      </c>
      <c r="D44" s="414">
        <v>0</v>
      </c>
      <c r="E44" s="813">
        <f t="shared" si="2"/>
        <v>0</v>
      </c>
    </row>
    <row r="45" spans="1:5" x14ac:dyDescent="0.35">
      <c r="A45" s="411" t="s">
        <v>260</v>
      </c>
      <c r="B45" s="450" t="s">
        <v>261</v>
      </c>
      <c r="C45" s="811">
        <v>0</v>
      </c>
      <c r="D45" s="414">
        <v>0</v>
      </c>
      <c r="E45" s="813">
        <f t="shared" si="2"/>
        <v>0</v>
      </c>
    </row>
    <row r="46" spans="1:5" x14ac:dyDescent="0.35">
      <c r="A46" s="411" t="s">
        <v>262</v>
      </c>
      <c r="B46" s="450" t="s">
        <v>263</v>
      </c>
      <c r="C46" s="811">
        <v>0</v>
      </c>
      <c r="D46" s="414">
        <v>0</v>
      </c>
      <c r="E46" s="813">
        <f t="shared" si="2"/>
        <v>0</v>
      </c>
    </row>
    <row r="47" spans="1:5" x14ac:dyDescent="0.35">
      <c r="A47" s="411" t="s">
        <v>264</v>
      </c>
      <c r="B47" s="450" t="s">
        <v>265</v>
      </c>
      <c r="C47" s="811">
        <v>0</v>
      </c>
      <c r="D47" s="414">
        <v>0</v>
      </c>
      <c r="E47" s="813">
        <f t="shared" si="2"/>
        <v>0</v>
      </c>
    </row>
    <row r="48" spans="1:5" ht="15" thickBot="1" x14ac:dyDescent="0.4">
      <c r="A48" s="411" t="s">
        <v>266</v>
      </c>
      <c r="B48" s="450" t="s">
        <v>267</v>
      </c>
      <c r="C48" s="835">
        <v>0</v>
      </c>
      <c r="D48" s="414">
        <v>0</v>
      </c>
      <c r="E48" s="813">
        <f t="shared" si="2"/>
        <v>0</v>
      </c>
    </row>
    <row r="49" spans="1:5" ht="15" thickBot="1" x14ac:dyDescent="0.4">
      <c r="A49" s="421" t="s">
        <v>268</v>
      </c>
      <c r="B49" s="610" t="s">
        <v>269</v>
      </c>
      <c r="C49" s="460">
        <f>SUM(C34:C48)</f>
        <v>0</v>
      </c>
      <c r="D49" s="461">
        <f>SUM(D34:D48)</f>
        <v>0</v>
      </c>
      <c r="E49" s="423">
        <f>SUM(E34:E48)</f>
        <v>0</v>
      </c>
    </row>
    <row r="50" spans="1:5" x14ac:dyDescent="0.35">
      <c r="A50" s="399" t="s">
        <v>270</v>
      </c>
      <c r="B50" s="538"/>
      <c r="C50" s="834"/>
      <c r="D50" s="440"/>
      <c r="E50" s="813"/>
    </row>
    <row r="51" spans="1:5" x14ac:dyDescent="0.35">
      <c r="A51" s="411" t="s">
        <v>271</v>
      </c>
      <c r="B51" s="450" t="s">
        <v>272</v>
      </c>
      <c r="C51" s="811">
        <v>0</v>
      </c>
      <c r="D51" s="414">
        <v>0</v>
      </c>
      <c r="E51" s="813">
        <f t="shared" ref="E51:E65" si="3">C51+D51</f>
        <v>0</v>
      </c>
    </row>
    <row r="52" spans="1:5" x14ac:dyDescent="0.35">
      <c r="A52" s="411" t="s">
        <v>273</v>
      </c>
      <c r="B52" s="450" t="s">
        <v>274</v>
      </c>
      <c r="C52" s="811">
        <v>0</v>
      </c>
      <c r="D52" s="414">
        <v>0</v>
      </c>
      <c r="E52" s="813">
        <f t="shared" si="3"/>
        <v>0</v>
      </c>
    </row>
    <row r="53" spans="1:5" x14ac:dyDescent="0.35">
      <c r="A53" s="411" t="s">
        <v>275</v>
      </c>
      <c r="B53" s="450" t="s">
        <v>276</v>
      </c>
      <c r="C53" s="811">
        <v>0</v>
      </c>
      <c r="D53" s="414">
        <v>0</v>
      </c>
      <c r="E53" s="813">
        <f t="shared" si="3"/>
        <v>0</v>
      </c>
    </row>
    <row r="54" spans="1:5" x14ac:dyDescent="0.35">
      <c r="A54" s="411" t="s">
        <v>277</v>
      </c>
      <c r="B54" s="450" t="s">
        <v>278</v>
      </c>
      <c r="C54" s="811">
        <v>0</v>
      </c>
      <c r="D54" s="414">
        <v>0</v>
      </c>
      <c r="E54" s="813">
        <f t="shared" si="3"/>
        <v>0</v>
      </c>
    </row>
    <row r="55" spans="1:5" x14ac:dyDescent="0.35">
      <c r="A55" s="411" t="s">
        <v>279</v>
      </c>
      <c r="B55" s="450" t="s">
        <v>280</v>
      </c>
      <c r="C55" s="811">
        <v>0</v>
      </c>
      <c r="D55" s="414">
        <v>0</v>
      </c>
      <c r="E55" s="813">
        <f t="shared" si="3"/>
        <v>0</v>
      </c>
    </row>
    <row r="56" spans="1:5" x14ac:dyDescent="0.35">
      <c r="A56" s="411" t="s">
        <v>281</v>
      </c>
      <c r="B56" s="450" t="s">
        <v>282</v>
      </c>
      <c r="C56" s="811">
        <v>0</v>
      </c>
      <c r="D56" s="414">
        <v>0</v>
      </c>
      <c r="E56" s="813">
        <f t="shared" si="3"/>
        <v>0</v>
      </c>
    </row>
    <row r="57" spans="1:5" x14ac:dyDescent="0.35">
      <c r="A57" s="411" t="s">
        <v>283</v>
      </c>
      <c r="B57" s="450" t="s">
        <v>284</v>
      </c>
      <c r="C57" s="811">
        <v>0</v>
      </c>
      <c r="D57" s="414">
        <v>0</v>
      </c>
      <c r="E57" s="813">
        <f t="shared" si="3"/>
        <v>0</v>
      </c>
    </row>
    <row r="58" spans="1:5" x14ac:dyDescent="0.35">
      <c r="A58" s="411" t="s">
        <v>285</v>
      </c>
      <c r="B58" s="450" t="s">
        <v>286</v>
      </c>
      <c r="C58" s="811">
        <v>0</v>
      </c>
      <c r="D58" s="414">
        <v>0</v>
      </c>
      <c r="E58" s="813">
        <f t="shared" si="3"/>
        <v>0</v>
      </c>
    </row>
    <row r="59" spans="1:5" x14ac:dyDescent="0.35">
      <c r="A59" s="411" t="s">
        <v>287</v>
      </c>
      <c r="B59" s="622" t="s">
        <v>288</v>
      </c>
      <c r="C59" s="811">
        <v>0</v>
      </c>
      <c r="D59" s="414">
        <v>0</v>
      </c>
      <c r="E59" s="813">
        <f t="shared" si="3"/>
        <v>0</v>
      </c>
    </row>
    <row r="60" spans="1:5" x14ac:dyDescent="0.35">
      <c r="A60" s="411" t="s">
        <v>289</v>
      </c>
      <c r="B60" s="450" t="s">
        <v>290</v>
      </c>
      <c r="C60" s="811">
        <v>0</v>
      </c>
      <c r="D60" s="414">
        <v>0</v>
      </c>
      <c r="E60" s="813">
        <f t="shared" si="3"/>
        <v>0</v>
      </c>
    </row>
    <row r="61" spans="1:5" x14ac:dyDescent="0.35">
      <c r="A61" s="411" t="s">
        <v>291</v>
      </c>
      <c r="B61" s="450" t="s">
        <v>292</v>
      </c>
      <c r="C61" s="811">
        <v>0</v>
      </c>
      <c r="D61" s="414">
        <v>0</v>
      </c>
      <c r="E61" s="813">
        <f t="shared" si="3"/>
        <v>0</v>
      </c>
    </row>
    <row r="62" spans="1:5" x14ac:dyDescent="0.35">
      <c r="A62" s="411" t="s">
        <v>293</v>
      </c>
      <c r="B62" s="450" t="s">
        <v>294</v>
      </c>
      <c r="C62" s="811">
        <v>0</v>
      </c>
      <c r="D62" s="414">
        <v>0</v>
      </c>
      <c r="E62" s="813">
        <f t="shared" si="3"/>
        <v>0</v>
      </c>
    </row>
    <row r="63" spans="1:5" x14ac:dyDescent="0.35">
      <c r="A63" s="411" t="s">
        <v>295</v>
      </c>
      <c r="B63" s="450" t="s">
        <v>296</v>
      </c>
      <c r="C63" s="811">
        <v>0</v>
      </c>
      <c r="D63" s="414">
        <v>0</v>
      </c>
      <c r="E63" s="813">
        <f t="shared" si="3"/>
        <v>0</v>
      </c>
    </row>
    <row r="64" spans="1:5" x14ac:dyDescent="0.35">
      <c r="A64" s="411" t="s">
        <v>297</v>
      </c>
      <c r="B64" s="450" t="s">
        <v>298</v>
      </c>
      <c r="C64" s="811">
        <v>0</v>
      </c>
      <c r="D64" s="414">
        <v>0</v>
      </c>
      <c r="E64" s="813">
        <f t="shared" si="3"/>
        <v>0</v>
      </c>
    </row>
    <row r="65" spans="1:5" ht="15" thickBot="1" x14ac:dyDescent="0.4">
      <c r="A65" s="411" t="s">
        <v>299</v>
      </c>
      <c r="B65" s="450" t="s">
        <v>300</v>
      </c>
      <c r="C65" s="835">
        <v>0</v>
      </c>
      <c r="D65" s="414">
        <v>0</v>
      </c>
      <c r="E65" s="813">
        <f t="shared" si="3"/>
        <v>0</v>
      </c>
    </row>
    <row r="66" spans="1:5" ht="15" thickBot="1" x14ac:dyDescent="0.4">
      <c r="A66" s="421">
        <v>50389</v>
      </c>
      <c r="B66" s="610" t="s">
        <v>301</v>
      </c>
      <c r="C66" s="460">
        <f>SUM(C51:C65)</f>
        <v>0</v>
      </c>
      <c r="D66" s="461">
        <f>SUM(D51:D65)</f>
        <v>0</v>
      </c>
      <c r="E66" s="423">
        <f>SUM(E51:E65)</f>
        <v>0</v>
      </c>
    </row>
    <row r="67" spans="1:5" x14ac:dyDescent="0.35">
      <c r="A67" s="399" t="s">
        <v>302</v>
      </c>
      <c r="B67" s="538"/>
      <c r="C67" s="834"/>
      <c r="D67" s="440"/>
      <c r="E67" s="813"/>
    </row>
    <row r="68" spans="1:5" x14ac:dyDescent="0.35">
      <c r="A68" s="411" t="s">
        <v>303</v>
      </c>
      <c r="B68" s="450" t="s">
        <v>304</v>
      </c>
      <c r="C68" s="811">
        <v>0</v>
      </c>
      <c r="D68" s="414">
        <v>0</v>
      </c>
      <c r="E68" s="813">
        <f t="shared" ref="E68:E89" si="4">C68+D68</f>
        <v>0</v>
      </c>
    </row>
    <row r="69" spans="1:5" x14ac:dyDescent="0.35">
      <c r="A69" s="411" t="s">
        <v>305</v>
      </c>
      <c r="B69" s="450" t="s">
        <v>306</v>
      </c>
      <c r="C69" s="811">
        <v>0</v>
      </c>
      <c r="D69" s="414">
        <v>0</v>
      </c>
      <c r="E69" s="813">
        <f t="shared" si="4"/>
        <v>0</v>
      </c>
    </row>
    <row r="70" spans="1:5" x14ac:dyDescent="0.35">
      <c r="A70" s="411" t="s">
        <v>307</v>
      </c>
      <c r="B70" s="450" t="s">
        <v>308</v>
      </c>
      <c r="C70" s="811">
        <v>0</v>
      </c>
      <c r="D70" s="414">
        <v>0</v>
      </c>
      <c r="E70" s="813">
        <f t="shared" si="4"/>
        <v>0</v>
      </c>
    </row>
    <row r="71" spans="1:5" x14ac:dyDescent="0.35">
      <c r="A71" s="411" t="s">
        <v>309</v>
      </c>
      <c r="B71" s="450" t="s">
        <v>310</v>
      </c>
      <c r="C71" s="811">
        <v>0</v>
      </c>
      <c r="D71" s="414">
        <v>0</v>
      </c>
      <c r="E71" s="813">
        <f t="shared" si="4"/>
        <v>0</v>
      </c>
    </row>
    <row r="72" spans="1:5" x14ac:dyDescent="0.35">
      <c r="A72" s="411" t="s">
        <v>311</v>
      </c>
      <c r="B72" s="450" t="s">
        <v>312</v>
      </c>
      <c r="C72" s="811">
        <v>0</v>
      </c>
      <c r="D72" s="414">
        <v>0</v>
      </c>
      <c r="E72" s="813">
        <f t="shared" si="4"/>
        <v>0</v>
      </c>
    </row>
    <row r="73" spans="1:5" x14ac:dyDescent="0.35">
      <c r="A73" s="411" t="s">
        <v>313</v>
      </c>
      <c r="B73" s="450" t="s">
        <v>314</v>
      </c>
      <c r="C73" s="811">
        <v>0</v>
      </c>
      <c r="D73" s="414">
        <v>0</v>
      </c>
      <c r="E73" s="813">
        <f t="shared" si="4"/>
        <v>0</v>
      </c>
    </row>
    <row r="74" spans="1:5" x14ac:dyDescent="0.35">
      <c r="A74" s="411" t="s">
        <v>315</v>
      </c>
      <c r="B74" s="450" t="s">
        <v>316</v>
      </c>
      <c r="C74" s="811">
        <v>0</v>
      </c>
      <c r="D74" s="414">
        <v>0</v>
      </c>
      <c r="E74" s="813">
        <f t="shared" si="4"/>
        <v>0</v>
      </c>
    </row>
    <row r="75" spans="1:5" x14ac:dyDescent="0.35">
      <c r="A75" s="411" t="s">
        <v>317</v>
      </c>
      <c r="B75" s="450" t="s">
        <v>318</v>
      </c>
      <c r="C75" s="811">
        <v>0</v>
      </c>
      <c r="D75" s="414">
        <v>0</v>
      </c>
      <c r="E75" s="813">
        <f t="shared" si="4"/>
        <v>0</v>
      </c>
    </row>
    <row r="76" spans="1:5" x14ac:dyDescent="0.35">
      <c r="A76" s="411" t="s">
        <v>319</v>
      </c>
      <c r="B76" s="450" t="s">
        <v>320</v>
      </c>
      <c r="C76" s="811">
        <v>0</v>
      </c>
      <c r="D76" s="414">
        <v>0</v>
      </c>
      <c r="E76" s="813">
        <f t="shared" si="4"/>
        <v>0</v>
      </c>
    </row>
    <row r="77" spans="1:5" x14ac:dyDescent="0.35">
      <c r="A77" s="411" t="s">
        <v>321</v>
      </c>
      <c r="B77" s="450" t="s">
        <v>322</v>
      </c>
      <c r="C77" s="811">
        <v>0</v>
      </c>
      <c r="D77" s="414">
        <v>0</v>
      </c>
      <c r="E77" s="813">
        <f t="shared" si="4"/>
        <v>0</v>
      </c>
    </row>
    <row r="78" spans="1:5" x14ac:dyDescent="0.35">
      <c r="A78" s="411" t="s">
        <v>323</v>
      </c>
      <c r="B78" s="450" t="s">
        <v>324</v>
      </c>
      <c r="C78" s="811">
        <v>0</v>
      </c>
      <c r="D78" s="414">
        <v>0</v>
      </c>
      <c r="E78" s="813">
        <f t="shared" si="4"/>
        <v>0</v>
      </c>
    </row>
    <row r="79" spans="1:5" x14ac:dyDescent="0.35">
      <c r="A79" s="411" t="s">
        <v>325</v>
      </c>
      <c r="B79" s="450" t="s">
        <v>326</v>
      </c>
      <c r="C79" s="811">
        <v>0</v>
      </c>
      <c r="D79" s="414">
        <v>0</v>
      </c>
      <c r="E79" s="813">
        <f t="shared" si="4"/>
        <v>0</v>
      </c>
    </row>
    <row r="80" spans="1:5" x14ac:dyDescent="0.35">
      <c r="A80" s="411" t="s">
        <v>327</v>
      </c>
      <c r="B80" s="450" t="s">
        <v>328</v>
      </c>
      <c r="C80" s="811">
        <v>0</v>
      </c>
      <c r="D80" s="414">
        <v>0</v>
      </c>
      <c r="E80" s="813">
        <f t="shared" si="4"/>
        <v>0</v>
      </c>
    </row>
    <row r="81" spans="1:5" x14ac:dyDescent="0.35">
      <c r="A81" s="411" t="s">
        <v>329</v>
      </c>
      <c r="B81" s="450" t="s">
        <v>330</v>
      </c>
      <c r="C81" s="811">
        <v>0</v>
      </c>
      <c r="D81" s="414">
        <v>0</v>
      </c>
      <c r="E81" s="813">
        <f t="shared" si="4"/>
        <v>0</v>
      </c>
    </row>
    <row r="82" spans="1:5" x14ac:dyDescent="0.35">
      <c r="A82" s="411" t="s">
        <v>331</v>
      </c>
      <c r="B82" s="450" t="s">
        <v>332</v>
      </c>
      <c r="C82" s="811">
        <v>0</v>
      </c>
      <c r="D82" s="414">
        <v>0</v>
      </c>
      <c r="E82" s="813">
        <f t="shared" si="4"/>
        <v>0</v>
      </c>
    </row>
    <row r="83" spans="1:5" x14ac:dyDescent="0.35">
      <c r="A83" s="411" t="s">
        <v>333</v>
      </c>
      <c r="B83" s="450" t="s">
        <v>334</v>
      </c>
      <c r="C83" s="811">
        <v>0</v>
      </c>
      <c r="D83" s="414">
        <v>0</v>
      </c>
      <c r="E83" s="813">
        <f>C83+D83</f>
        <v>0</v>
      </c>
    </row>
    <row r="84" spans="1:5" x14ac:dyDescent="0.35">
      <c r="A84" s="411" t="s">
        <v>335</v>
      </c>
      <c r="B84" s="450" t="s">
        <v>336</v>
      </c>
      <c r="C84" s="811">
        <v>0</v>
      </c>
      <c r="D84" s="414">
        <v>0</v>
      </c>
      <c r="E84" s="813">
        <f>C84+D84</f>
        <v>0</v>
      </c>
    </row>
    <row r="85" spans="1:5" x14ac:dyDescent="0.35">
      <c r="A85" s="411" t="s">
        <v>337</v>
      </c>
      <c r="B85" s="450" t="s">
        <v>338</v>
      </c>
      <c r="C85" s="811">
        <v>0</v>
      </c>
      <c r="D85" s="414">
        <v>0</v>
      </c>
      <c r="E85" s="813">
        <f>C85+D85</f>
        <v>0</v>
      </c>
    </row>
    <row r="86" spans="1:5" x14ac:dyDescent="0.35">
      <c r="A86" s="451" t="s">
        <v>339</v>
      </c>
      <c r="B86" s="452" t="s">
        <v>340</v>
      </c>
      <c r="C86" s="803">
        <f>SUM(C83:C85)</f>
        <v>0</v>
      </c>
      <c r="D86" s="836">
        <f>SUM(D83:D85)</f>
        <v>0</v>
      </c>
      <c r="E86" s="824">
        <f>C86+D86</f>
        <v>0</v>
      </c>
    </row>
    <row r="87" spans="1:5" ht="15" thickBot="1" x14ac:dyDescent="0.4">
      <c r="A87" s="411" t="s">
        <v>341</v>
      </c>
      <c r="B87" s="450" t="s">
        <v>342</v>
      </c>
      <c r="C87" s="811">
        <v>0</v>
      </c>
      <c r="D87" s="414">
        <v>0</v>
      </c>
      <c r="E87" s="813">
        <f t="shared" si="4"/>
        <v>0</v>
      </c>
    </row>
    <row r="88" spans="1:5" ht="15" thickBot="1" x14ac:dyDescent="0.4">
      <c r="A88" s="421">
        <v>50399</v>
      </c>
      <c r="B88" s="610" t="s">
        <v>343</v>
      </c>
      <c r="C88" s="460">
        <f>SUM(C68:C82)+C86+C87</f>
        <v>0</v>
      </c>
      <c r="D88" s="461">
        <f>SUM(D68:D82)+D86+D87</f>
        <v>0</v>
      </c>
      <c r="E88" s="423">
        <f>SUM(E68:E82)+E86+E87</f>
        <v>0</v>
      </c>
    </row>
    <row r="89" spans="1:5" ht="15" thickBot="1" x14ac:dyDescent="0.4">
      <c r="A89" s="411" t="s">
        <v>344</v>
      </c>
      <c r="B89" s="450" t="s">
        <v>345</v>
      </c>
      <c r="C89" s="837">
        <v>0</v>
      </c>
      <c r="D89" s="828">
        <v>0</v>
      </c>
      <c r="E89" s="813">
        <f t="shared" si="4"/>
        <v>0</v>
      </c>
    </row>
    <row r="90" spans="1:5" ht="15" thickBot="1" x14ac:dyDescent="0.4">
      <c r="A90" s="421">
        <v>59999</v>
      </c>
      <c r="B90" s="610" t="s">
        <v>346</v>
      </c>
      <c r="C90" s="460">
        <f>C32+C49+C66+C88+C89</f>
        <v>0</v>
      </c>
      <c r="D90" s="461">
        <f>D32+D49+D66+D88+D89</f>
        <v>0</v>
      </c>
      <c r="E90" s="423">
        <f>E32+E49+E66+E88+E89</f>
        <v>0</v>
      </c>
    </row>
    <row r="91" spans="1:5" x14ac:dyDescent="0.35">
      <c r="A91" s="458" t="s">
        <v>347</v>
      </c>
      <c r="B91" s="538"/>
      <c r="C91" s="825"/>
      <c r="D91" s="440"/>
      <c r="E91" s="813"/>
    </row>
    <row r="92" spans="1:5" x14ac:dyDescent="0.35">
      <c r="A92" s="411" t="s">
        <v>348</v>
      </c>
      <c r="B92" s="450" t="s">
        <v>349</v>
      </c>
      <c r="C92" s="811">
        <v>0</v>
      </c>
      <c r="D92" s="414">
        <v>0</v>
      </c>
      <c r="E92" s="813">
        <f t="shared" ref="E92:E96" si="5">SUM(C92:D92)</f>
        <v>0</v>
      </c>
    </row>
    <row r="93" spans="1:5" x14ac:dyDescent="0.35">
      <c r="A93" s="411" t="s">
        <v>350</v>
      </c>
      <c r="B93" s="450" t="s">
        <v>351</v>
      </c>
      <c r="C93" s="811">
        <v>0</v>
      </c>
      <c r="D93" s="414">
        <v>0</v>
      </c>
      <c r="E93" s="813">
        <f t="shared" si="5"/>
        <v>0</v>
      </c>
    </row>
    <row r="94" spans="1:5" x14ac:dyDescent="0.35">
      <c r="A94" s="411" t="s">
        <v>352</v>
      </c>
      <c r="B94" s="450" t="s">
        <v>353</v>
      </c>
      <c r="C94" s="811">
        <v>0</v>
      </c>
      <c r="D94" s="414">
        <v>0</v>
      </c>
      <c r="E94" s="813">
        <f t="shared" si="5"/>
        <v>0</v>
      </c>
    </row>
    <row r="95" spans="1:5" x14ac:dyDescent="0.35">
      <c r="A95" s="411" t="s">
        <v>354</v>
      </c>
      <c r="B95" s="450" t="s">
        <v>355</v>
      </c>
      <c r="C95" s="811">
        <v>0</v>
      </c>
      <c r="D95" s="414">
        <v>0</v>
      </c>
      <c r="E95" s="813">
        <f t="shared" si="5"/>
        <v>0</v>
      </c>
    </row>
    <row r="96" spans="1:5" ht="15" thickBot="1" x14ac:dyDescent="0.4">
      <c r="A96" s="411" t="s">
        <v>356</v>
      </c>
      <c r="B96" s="450" t="s">
        <v>357</v>
      </c>
      <c r="C96" s="835">
        <v>0</v>
      </c>
      <c r="D96" s="414">
        <v>0</v>
      </c>
      <c r="E96" s="813">
        <f t="shared" si="5"/>
        <v>0</v>
      </c>
    </row>
    <row r="97" spans="1:5" ht="15" thickBot="1" x14ac:dyDescent="0.4">
      <c r="A97" s="421">
        <v>85999</v>
      </c>
      <c r="B97" s="610" t="s">
        <v>358</v>
      </c>
      <c r="C97" s="460">
        <f>C90+SUM(C92:C96)</f>
        <v>0</v>
      </c>
      <c r="D97" s="461">
        <f>D90+SUM(D92:D96)</f>
        <v>0</v>
      </c>
      <c r="E97" s="423">
        <f>E90+SUM(E92:E96)</f>
        <v>0</v>
      </c>
    </row>
    <row r="98" spans="1:5" x14ac:dyDescent="0.35">
      <c r="A98" s="399" t="s">
        <v>359</v>
      </c>
      <c r="B98" s="538"/>
      <c r="C98" s="834"/>
      <c r="D98" s="440"/>
      <c r="E98" s="813"/>
    </row>
    <row r="99" spans="1:5" x14ac:dyDescent="0.35">
      <c r="A99" s="411" t="s">
        <v>360</v>
      </c>
      <c r="B99" s="450" t="s">
        <v>361</v>
      </c>
      <c r="C99" s="811">
        <v>0</v>
      </c>
      <c r="D99" s="414">
        <v>0</v>
      </c>
      <c r="E99" s="813">
        <f t="shared" ref="E99:E118" si="6">C99+D99</f>
        <v>0</v>
      </c>
    </row>
    <row r="100" spans="1:5" ht="12" customHeight="1" x14ac:dyDescent="0.35">
      <c r="A100" s="411" t="s">
        <v>362</v>
      </c>
      <c r="B100" s="450" t="s">
        <v>363</v>
      </c>
      <c r="C100" s="811">
        <v>0</v>
      </c>
      <c r="D100" s="414">
        <v>0</v>
      </c>
      <c r="E100" s="813">
        <f t="shared" si="6"/>
        <v>0</v>
      </c>
    </row>
    <row r="101" spans="1:5" x14ac:dyDescent="0.35">
      <c r="A101" s="411" t="s">
        <v>364</v>
      </c>
      <c r="B101" s="450" t="s">
        <v>365</v>
      </c>
      <c r="C101" s="811">
        <v>0</v>
      </c>
      <c r="D101" s="414">
        <v>0</v>
      </c>
      <c r="E101" s="813">
        <f t="shared" si="6"/>
        <v>0</v>
      </c>
    </row>
    <row r="102" spans="1:5" x14ac:dyDescent="0.35">
      <c r="A102" s="411" t="s">
        <v>366</v>
      </c>
      <c r="B102" s="450" t="s">
        <v>367</v>
      </c>
      <c r="C102" s="811">
        <v>0</v>
      </c>
      <c r="D102" s="414">
        <v>0</v>
      </c>
      <c r="E102" s="813">
        <f t="shared" si="6"/>
        <v>0</v>
      </c>
    </row>
    <row r="103" spans="1:5" x14ac:dyDescent="0.35">
      <c r="A103" s="411" t="s">
        <v>368</v>
      </c>
      <c r="B103" s="450" t="s">
        <v>369</v>
      </c>
      <c r="C103" s="811">
        <v>0</v>
      </c>
      <c r="D103" s="414">
        <v>0</v>
      </c>
      <c r="E103" s="813">
        <f t="shared" si="6"/>
        <v>0</v>
      </c>
    </row>
    <row r="104" spans="1:5" x14ac:dyDescent="0.35">
      <c r="A104" s="411" t="s">
        <v>370</v>
      </c>
      <c r="B104" s="450" t="s">
        <v>371</v>
      </c>
      <c r="C104" s="811">
        <v>0</v>
      </c>
      <c r="D104" s="414">
        <v>0</v>
      </c>
      <c r="E104" s="813">
        <f t="shared" si="6"/>
        <v>0</v>
      </c>
    </row>
    <row r="105" spans="1:5" ht="10.5" customHeight="1" x14ac:dyDescent="0.35">
      <c r="A105" s="411" t="s">
        <v>372</v>
      </c>
      <c r="B105" s="450" t="s">
        <v>373</v>
      </c>
      <c r="C105" s="811">
        <v>0</v>
      </c>
      <c r="D105" s="414">
        <v>0</v>
      </c>
      <c r="E105" s="813">
        <f t="shared" si="6"/>
        <v>0</v>
      </c>
    </row>
    <row r="106" spans="1:5" x14ac:dyDescent="0.35">
      <c r="A106" s="411" t="s">
        <v>374</v>
      </c>
      <c r="B106" s="450" t="s">
        <v>375</v>
      </c>
      <c r="C106" s="811">
        <v>0</v>
      </c>
      <c r="D106" s="414">
        <v>0</v>
      </c>
      <c r="E106" s="813">
        <f t="shared" si="6"/>
        <v>0</v>
      </c>
    </row>
    <row r="107" spans="1:5" x14ac:dyDescent="0.35">
      <c r="A107" s="411" t="s">
        <v>376</v>
      </c>
      <c r="B107" s="450" t="s">
        <v>377</v>
      </c>
      <c r="C107" s="811">
        <v>0</v>
      </c>
      <c r="D107" s="414">
        <v>0</v>
      </c>
      <c r="E107" s="813">
        <f t="shared" si="6"/>
        <v>0</v>
      </c>
    </row>
    <row r="108" spans="1:5" x14ac:dyDescent="0.35">
      <c r="A108" s="411" t="s">
        <v>378</v>
      </c>
      <c r="B108" s="450" t="s">
        <v>379</v>
      </c>
      <c r="C108" s="811">
        <v>0</v>
      </c>
      <c r="D108" s="414">
        <v>0</v>
      </c>
      <c r="E108" s="813">
        <f t="shared" si="6"/>
        <v>0</v>
      </c>
    </row>
    <row r="109" spans="1:5" x14ac:dyDescent="0.35">
      <c r="A109" s="411" t="s">
        <v>380</v>
      </c>
      <c r="B109" s="450" t="s">
        <v>381</v>
      </c>
      <c r="C109" s="811">
        <v>0</v>
      </c>
      <c r="D109" s="414">
        <v>0</v>
      </c>
      <c r="E109" s="813">
        <f t="shared" si="6"/>
        <v>0</v>
      </c>
    </row>
    <row r="110" spans="1:5" x14ac:dyDescent="0.35">
      <c r="A110" s="411" t="s">
        <v>382</v>
      </c>
      <c r="B110" s="450" t="s">
        <v>383</v>
      </c>
      <c r="C110" s="811">
        <v>0</v>
      </c>
      <c r="D110" s="414">
        <v>0</v>
      </c>
      <c r="E110" s="813">
        <f t="shared" si="6"/>
        <v>0</v>
      </c>
    </row>
    <row r="111" spans="1:5" x14ac:dyDescent="0.35">
      <c r="A111" s="411" t="s">
        <v>384</v>
      </c>
      <c r="B111" s="450" t="s">
        <v>385</v>
      </c>
      <c r="C111" s="811">
        <v>0</v>
      </c>
      <c r="D111" s="414">
        <v>0</v>
      </c>
      <c r="E111" s="813">
        <f t="shared" si="6"/>
        <v>0</v>
      </c>
    </row>
    <row r="112" spans="1:5" x14ac:dyDescent="0.35">
      <c r="A112" s="411" t="s">
        <v>386</v>
      </c>
      <c r="B112" s="450" t="s">
        <v>387</v>
      </c>
      <c r="C112" s="811">
        <v>0</v>
      </c>
      <c r="D112" s="414">
        <v>0</v>
      </c>
      <c r="E112" s="813">
        <f t="shared" si="6"/>
        <v>0</v>
      </c>
    </row>
    <row r="113" spans="1:5" x14ac:dyDescent="0.35">
      <c r="A113" s="411" t="s">
        <v>388</v>
      </c>
      <c r="B113" s="450" t="s">
        <v>389</v>
      </c>
      <c r="C113" s="811">
        <v>0</v>
      </c>
      <c r="D113" s="414">
        <v>0</v>
      </c>
      <c r="E113" s="813">
        <f t="shared" si="6"/>
        <v>0</v>
      </c>
    </row>
    <row r="114" spans="1:5" x14ac:dyDescent="0.35">
      <c r="A114" s="411" t="s">
        <v>390</v>
      </c>
      <c r="B114" s="450" t="s">
        <v>391</v>
      </c>
      <c r="C114" s="811">
        <v>0</v>
      </c>
      <c r="D114" s="414">
        <v>0</v>
      </c>
      <c r="E114" s="813">
        <f t="shared" si="6"/>
        <v>0</v>
      </c>
    </row>
    <row r="115" spans="1:5" x14ac:dyDescent="0.35">
      <c r="A115" s="411" t="s">
        <v>392</v>
      </c>
      <c r="B115" s="631" t="s">
        <v>393</v>
      </c>
      <c r="C115" s="811">
        <v>0</v>
      </c>
      <c r="D115" s="414">
        <v>0</v>
      </c>
      <c r="E115" s="813">
        <f t="shared" si="6"/>
        <v>0</v>
      </c>
    </row>
    <row r="116" spans="1:5" x14ac:dyDescent="0.35">
      <c r="A116" s="411" t="s">
        <v>394</v>
      </c>
      <c r="B116" s="631" t="s">
        <v>395</v>
      </c>
      <c r="C116" s="811">
        <v>0</v>
      </c>
      <c r="D116" s="414">
        <v>0</v>
      </c>
      <c r="E116" s="813">
        <f t="shared" si="6"/>
        <v>0</v>
      </c>
    </row>
    <row r="117" spans="1:5" x14ac:dyDescent="0.35">
      <c r="A117" s="411" t="s">
        <v>396</v>
      </c>
      <c r="B117" s="450" t="s">
        <v>397</v>
      </c>
      <c r="C117" s="811">
        <v>0</v>
      </c>
      <c r="D117" s="414">
        <v>0</v>
      </c>
      <c r="E117" s="813">
        <f t="shared" si="6"/>
        <v>0</v>
      </c>
    </row>
    <row r="118" spans="1:5" ht="15" thickBot="1" x14ac:dyDescent="0.4">
      <c r="A118" s="411" t="s">
        <v>398</v>
      </c>
      <c r="B118" s="450" t="s">
        <v>399</v>
      </c>
      <c r="C118" s="835">
        <v>0</v>
      </c>
      <c r="D118" s="414">
        <v>0</v>
      </c>
      <c r="E118" s="813">
        <f t="shared" si="6"/>
        <v>0</v>
      </c>
    </row>
    <row r="119" spans="1:5" ht="15" thickBot="1" x14ac:dyDescent="0.4">
      <c r="A119" s="421">
        <v>84999</v>
      </c>
      <c r="B119" s="610" t="s">
        <v>400</v>
      </c>
      <c r="C119" s="460">
        <f>SUM(C99:C118)</f>
        <v>0</v>
      </c>
      <c r="D119" s="461">
        <f>SUM(D99:D118)</f>
        <v>0</v>
      </c>
      <c r="E119" s="423">
        <f>SUM(E99:E118)</f>
        <v>0</v>
      </c>
    </row>
    <row r="120" spans="1:5" x14ac:dyDescent="0.35">
      <c r="C120" s="808"/>
      <c r="D120" s="809"/>
      <c r="E120" s="810"/>
    </row>
    <row r="121" spans="1:5" ht="15" thickBot="1" x14ac:dyDescent="0.4">
      <c r="A121" s="1351" t="s">
        <v>401</v>
      </c>
      <c r="B121" s="521" t="s">
        <v>402</v>
      </c>
      <c r="C121" s="811">
        <v>0</v>
      </c>
      <c r="D121" s="812">
        <v>0</v>
      </c>
      <c r="E121" s="813">
        <f>C121+D121</f>
        <v>0</v>
      </c>
    </row>
    <row r="122" spans="1:5" ht="15" thickBot="1" x14ac:dyDescent="0.4">
      <c r="A122" s="421">
        <v>86999</v>
      </c>
      <c r="B122" s="633" t="s">
        <v>403</v>
      </c>
      <c r="C122" s="460">
        <f>C97+C119+C121</f>
        <v>0</v>
      </c>
      <c r="D122" s="461">
        <f>D97+D119+D121</f>
        <v>0</v>
      </c>
      <c r="E122" s="423">
        <f>E97+E119+E121</f>
        <v>0</v>
      </c>
    </row>
    <row r="123" spans="1:5" x14ac:dyDescent="0.35">
      <c r="A123" s="817"/>
      <c r="B123" s="818"/>
      <c r="C123" s="819"/>
      <c r="D123" s="820"/>
      <c r="E123" s="821"/>
    </row>
    <row r="124" spans="1:5" x14ac:dyDescent="0.35">
      <c r="A124" s="470">
        <v>87999</v>
      </c>
      <c r="B124" s="471" t="s">
        <v>404</v>
      </c>
      <c r="C124" s="822">
        <f>(C24-C21)-C122</f>
        <v>0</v>
      </c>
      <c r="D124" s="823">
        <f>(D24-D21)-D122</f>
        <v>0</v>
      </c>
      <c r="E124" s="824">
        <f>(E24-E21)-E122</f>
        <v>0</v>
      </c>
    </row>
    <row r="125" spans="1:5" x14ac:dyDescent="0.35">
      <c r="A125" s="480" t="s">
        <v>405</v>
      </c>
      <c r="B125" s="481" t="s">
        <v>406</v>
      </c>
      <c r="C125" s="819">
        <f>C21</f>
        <v>0</v>
      </c>
      <c r="D125" s="820">
        <f>D21</f>
        <v>0</v>
      </c>
      <c r="E125" s="813">
        <f>E21</f>
        <v>0</v>
      </c>
    </row>
    <row r="126" spans="1:5" x14ac:dyDescent="0.35">
      <c r="A126" s="480" t="s">
        <v>407</v>
      </c>
      <c r="B126" s="481" t="s">
        <v>408</v>
      </c>
      <c r="C126" s="811">
        <v>0</v>
      </c>
      <c r="D126" s="414">
        <v>0</v>
      </c>
      <c r="E126" s="813">
        <f>C126+D126</f>
        <v>0</v>
      </c>
    </row>
    <row r="127" spans="1:5" x14ac:dyDescent="0.35">
      <c r="A127" s="470">
        <v>88999</v>
      </c>
      <c r="B127" s="471" t="s">
        <v>409</v>
      </c>
      <c r="C127" s="822">
        <f>C125+C126</f>
        <v>0</v>
      </c>
      <c r="D127" s="823">
        <f>D125+D126</f>
        <v>0</v>
      </c>
      <c r="E127" s="824">
        <f>E125+E126</f>
        <v>0</v>
      </c>
    </row>
    <row r="128" spans="1:5" ht="13.5" customHeight="1" thickBot="1" x14ac:dyDescent="0.4">
      <c r="A128" s="493"/>
      <c r="B128" s="494"/>
      <c r="C128" s="825"/>
      <c r="D128" s="440"/>
      <c r="E128" s="816"/>
    </row>
    <row r="129" spans="1:5" ht="13.5" customHeight="1" thickBot="1" x14ac:dyDescent="0.4">
      <c r="A129" s="421">
        <v>89999</v>
      </c>
      <c r="B129" s="610" t="s">
        <v>410</v>
      </c>
      <c r="C129" s="460">
        <f>C124+C127</f>
        <v>0</v>
      </c>
      <c r="D129" s="461">
        <f>D124+D127</f>
        <v>0</v>
      </c>
      <c r="E129" s="423">
        <f>E124+E127</f>
        <v>0</v>
      </c>
    </row>
    <row r="130" spans="1:5" x14ac:dyDescent="0.35">
      <c r="C130" s="808"/>
      <c r="D130" s="809"/>
      <c r="E130" s="810"/>
    </row>
    <row r="131" spans="1:5" x14ac:dyDescent="0.35">
      <c r="A131" s="411" t="s">
        <v>411</v>
      </c>
      <c r="B131" s="412" t="s">
        <v>412</v>
      </c>
      <c r="C131" s="811">
        <v>0</v>
      </c>
      <c r="D131" s="812">
        <v>0</v>
      </c>
      <c r="E131" s="813">
        <f>C131+D131</f>
        <v>0</v>
      </c>
    </row>
    <row r="132" spans="1:5" ht="15" thickBot="1" x14ac:dyDescent="0.4">
      <c r="A132" s="458"/>
      <c r="B132" s="412"/>
      <c r="C132" s="814"/>
      <c r="D132" s="815"/>
      <c r="E132" s="816"/>
    </row>
    <row r="133" spans="1:5" ht="15" thickBot="1" x14ac:dyDescent="0.4">
      <c r="A133" s="421">
        <v>99999</v>
      </c>
      <c r="B133" s="610" t="s">
        <v>413</v>
      </c>
      <c r="C133" s="460">
        <f>C129-C131</f>
        <v>0</v>
      </c>
      <c r="D133" s="461">
        <f t="shared" ref="D133:E133" si="7">D129-D131</f>
        <v>0</v>
      </c>
      <c r="E133" s="423">
        <f t="shared" si="7"/>
        <v>0</v>
      </c>
    </row>
    <row r="134" spans="1:5" x14ac:dyDescent="0.35">
      <c r="A134" s="458"/>
      <c r="B134" s="450"/>
      <c r="C134" s="825"/>
      <c r="D134" s="440"/>
      <c r="E134" s="813"/>
    </row>
    <row r="135" spans="1:5" x14ac:dyDescent="0.35">
      <c r="A135" s="411" t="s">
        <v>414</v>
      </c>
      <c r="B135" s="450" t="s">
        <v>415</v>
      </c>
      <c r="C135" s="811">
        <v>0</v>
      </c>
      <c r="D135" s="414">
        <v>0</v>
      </c>
      <c r="E135" s="813">
        <f>C135+D135</f>
        <v>0</v>
      </c>
    </row>
    <row r="136" spans="1:5" ht="13.5" customHeight="1" x14ac:dyDescent="0.35">
      <c r="A136" s="411" t="s">
        <v>416</v>
      </c>
      <c r="B136" s="538" t="s">
        <v>417</v>
      </c>
      <c r="C136" s="811">
        <v>0</v>
      </c>
      <c r="D136" s="414">
        <v>0</v>
      </c>
      <c r="E136" s="813">
        <f>C136+D136</f>
        <v>0</v>
      </c>
    </row>
    <row r="137" spans="1:5" x14ac:dyDescent="0.35">
      <c r="A137" s="411" t="s">
        <v>418</v>
      </c>
      <c r="B137" s="538" t="s">
        <v>419</v>
      </c>
      <c r="C137" s="811">
        <v>0</v>
      </c>
      <c r="D137" s="414">
        <v>0</v>
      </c>
      <c r="E137" s="813">
        <f>C137+D137</f>
        <v>0</v>
      </c>
    </row>
    <row r="138" spans="1:5" x14ac:dyDescent="0.35">
      <c r="A138" s="411" t="s">
        <v>420</v>
      </c>
      <c r="B138" s="538" t="s">
        <v>421</v>
      </c>
      <c r="C138" s="811">
        <v>0</v>
      </c>
      <c r="D138" s="414">
        <v>0</v>
      </c>
      <c r="E138" s="813">
        <f>C138+D138</f>
        <v>0</v>
      </c>
    </row>
    <row r="139" spans="1:5" ht="15" thickBot="1" x14ac:dyDescent="0.4">
      <c r="A139" s="458"/>
      <c r="B139" s="450"/>
      <c r="C139" s="825"/>
      <c r="D139" s="440"/>
      <c r="E139" s="813"/>
    </row>
    <row r="140" spans="1:5" ht="15" thickBot="1" x14ac:dyDescent="0.4">
      <c r="A140" s="421">
        <v>999999</v>
      </c>
      <c r="B140" s="610" t="s">
        <v>422</v>
      </c>
      <c r="C140" s="460">
        <f>C133-C135-C136-C137-C138</f>
        <v>0</v>
      </c>
      <c r="D140" s="461">
        <f>D133-D135-D136-D137-D138</f>
        <v>0</v>
      </c>
      <c r="E140" s="423">
        <f>E133-E135-E136-E137-E138</f>
        <v>0</v>
      </c>
    </row>
  </sheetData>
  <printOptions gridLinesSet="0"/>
  <pageMargins left="0.22" right="0.17" top="0.3" bottom="1" header="0.17" footer="0.5"/>
  <pageSetup scale="40" orientation="portrait" r:id="rId1"/>
  <headerFooter alignWithMargins="0">
    <oddFooter>&amp;L&amp;Z&amp;F&amp;A</oddFooter>
  </headerFooter>
  <ignoredErrors>
    <ignoredError sqref="E2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42BB4-925E-4FCC-8AE7-8C3949657D9E}">
  <sheetPr syncVertical="1" syncRef="A9" transitionEvaluation="1">
    <pageSetUpPr fitToPage="1"/>
  </sheetPr>
  <dimension ref="A1:E140"/>
  <sheetViews>
    <sheetView showGridLines="0" zoomScaleNormal="100" zoomScaleSheetLayoutView="75" workbookViewId="0">
      <pane ySplit="8" topLeftCell="A9" activePane="bottomLeft" state="frozen"/>
      <selection activeCell="E57" sqref="E57"/>
      <selection pane="bottomLeft" activeCell="J20" sqref="J20"/>
    </sheetView>
  </sheetViews>
  <sheetFormatPr defaultColWidth="12.54296875" defaultRowHeight="14.5" x14ac:dyDescent="0.35"/>
  <cols>
    <col min="1" max="1" width="20.54296875" style="778" customWidth="1"/>
    <col min="2" max="2" width="57.54296875" style="778" customWidth="1"/>
    <col min="3" max="5" width="20.54296875" style="780" customWidth="1"/>
    <col min="6" max="16384" width="12.54296875" style="778"/>
  </cols>
  <sheetData>
    <row r="1" spans="1:5" x14ac:dyDescent="0.35">
      <c r="A1" s="1551" t="s">
        <v>753</v>
      </c>
      <c r="B1" s="1552"/>
      <c r="C1" s="1553"/>
      <c r="D1" s="1553"/>
      <c r="E1" s="1553"/>
    </row>
    <row r="2" spans="1:5" ht="16.5" customHeight="1" thickBot="1" x14ac:dyDescent="0.4">
      <c r="A2" s="1555" t="s">
        <v>758</v>
      </c>
      <c r="B2" s="1556"/>
      <c r="C2" s="1558"/>
      <c r="D2" s="1559"/>
      <c r="E2" s="1560"/>
    </row>
    <row r="3" spans="1:5" x14ac:dyDescent="0.35">
      <c r="A3" s="779"/>
      <c r="E3" s="781"/>
    </row>
    <row r="4" spans="1:5" x14ac:dyDescent="0.35">
      <c r="A4" s="23" t="s">
        <v>759</v>
      </c>
      <c r="E4" s="781"/>
    </row>
    <row r="5" spans="1:5" s="400" customFormat="1" x14ac:dyDescent="0.35">
      <c r="A5" s="597" t="s">
        <v>45</v>
      </c>
      <c r="B5" s="23" t="str">
        <f>'FS-Balance Sheet 3.04'!B4</f>
        <v>Select Contractor Name</v>
      </c>
    </row>
    <row r="6" spans="1:5" s="400" customFormat="1" x14ac:dyDescent="0.35">
      <c r="A6" s="597" t="s">
        <v>708</v>
      </c>
      <c r="B6" s="40" t="str">
        <f>'FS-Balance Sheet 3.04'!B5</f>
        <v>mm/dd/yyyy</v>
      </c>
    </row>
    <row r="7" spans="1:5" s="400" customFormat="1" ht="12" customHeight="1" thickBot="1" x14ac:dyDescent="0.4">
      <c r="B7" s="524"/>
      <c r="C7" s="782"/>
      <c r="D7" s="782"/>
      <c r="E7" s="782"/>
    </row>
    <row r="8" spans="1:5" s="783" customFormat="1" ht="42" customHeight="1" thickBot="1" x14ac:dyDescent="0.3">
      <c r="A8" s="1547" t="s">
        <v>188</v>
      </c>
      <c r="B8" s="1548" t="s">
        <v>189</v>
      </c>
      <c r="C8" s="1549" t="s">
        <v>190</v>
      </c>
      <c r="D8" s="1550" t="s">
        <v>191</v>
      </c>
      <c r="E8" s="1957" t="s">
        <v>192</v>
      </c>
    </row>
    <row r="9" spans="1:5" s="783" customFormat="1" x14ac:dyDescent="0.35">
      <c r="A9" s="784" t="s">
        <v>193</v>
      </c>
      <c r="B9" s="785" t="s">
        <v>194</v>
      </c>
      <c r="C9" s="786">
        <v>0</v>
      </c>
      <c r="D9" s="787">
        <v>0</v>
      </c>
      <c r="E9" s="788">
        <f>C9+D9</f>
        <v>0</v>
      </c>
    </row>
    <row r="10" spans="1:5" s="783" customFormat="1" x14ac:dyDescent="0.35">
      <c r="A10" s="789" t="s">
        <v>195</v>
      </c>
      <c r="B10" s="790" t="s">
        <v>196</v>
      </c>
      <c r="C10" s="786">
        <v>0</v>
      </c>
      <c r="D10" s="787">
        <v>0</v>
      </c>
      <c r="E10" s="788">
        <f>+C10+D10</f>
        <v>0</v>
      </c>
    </row>
    <row r="11" spans="1:5" s="783" customFormat="1" x14ac:dyDescent="0.35">
      <c r="A11" s="789" t="s">
        <v>197</v>
      </c>
      <c r="B11" s="791" t="s">
        <v>198</v>
      </c>
      <c r="C11" s="786">
        <v>0</v>
      </c>
      <c r="D11" s="787">
        <v>0</v>
      </c>
      <c r="E11" s="788">
        <f>+C11+D11</f>
        <v>0</v>
      </c>
    </row>
    <row r="12" spans="1:5" x14ac:dyDescent="0.35">
      <c r="A12" s="399" t="s">
        <v>199</v>
      </c>
      <c r="B12" s="538"/>
      <c r="C12" s="792"/>
      <c r="D12" s="793"/>
      <c r="E12" s="788"/>
    </row>
    <row r="13" spans="1:5" x14ac:dyDescent="0.35">
      <c r="A13" s="411" t="s">
        <v>200</v>
      </c>
      <c r="B13" s="450" t="s">
        <v>201</v>
      </c>
      <c r="C13" s="794">
        <v>0</v>
      </c>
      <c r="D13" s="795">
        <v>0</v>
      </c>
      <c r="E13" s="788">
        <f t="shared" ref="E13:E19" si="0">C13+D13</f>
        <v>0</v>
      </c>
    </row>
    <row r="14" spans="1:5" x14ac:dyDescent="0.35">
      <c r="A14" s="411" t="s">
        <v>202</v>
      </c>
      <c r="B14" s="450" t="s">
        <v>203</v>
      </c>
      <c r="C14" s="794">
        <v>0</v>
      </c>
      <c r="D14" s="795">
        <v>0</v>
      </c>
      <c r="E14" s="788">
        <f t="shared" si="0"/>
        <v>0</v>
      </c>
    </row>
    <row r="15" spans="1:5" x14ac:dyDescent="0.35">
      <c r="A15" s="411" t="s">
        <v>204</v>
      </c>
      <c r="B15" s="450" t="s">
        <v>205</v>
      </c>
      <c r="C15" s="794">
        <v>0</v>
      </c>
      <c r="D15" s="795">
        <v>0</v>
      </c>
      <c r="E15" s="788">
        <f t="shared" si="0"/>
        <v>0</v>
      </c>
    </row>
    <row r="16" spans="1:5" x14ac:dyDescent="0.35">
      <c r="A16" s="411" t="s">
        <v>206</v>
      </c>
      <c r="B16" s="450" t="s">
        <v>207</v>
      </c>
      <c r="C16" s="794">
        <v>0</v>
      </c>
      <c r="D16" s="795">
        <v>0</v>
      </c>
      <c r="E16" s="788">
        <f t="shared" si="0"/>
        <v>0</v>
      </c>
    </row>
    <row r="17" spans="1:5" x14ac:dyDescent="0.35">
      <c r="A17" s="411" t="s">
        <v>208</v>
      </c>
      <c r="B17" s="450" t="s">
        <v>209</v>
      </c>
      <c r="C17" s="794">
        <v>0</v>
      </c>
      <c r="D17" s="795">
        <v>0</v>
      </c>
      <c r="E17" s="788">
        <f t="shared" si="0"/>
        <v>0</v>
      </c>
    </row>
    <row r="18" spans="1:5" x14ac:dyDescent="0.35">
      <c r="A18" s="411" t="s">
        <v>210</v>
      </c>
      <c r="B18" s="450" t="s">
        <v>211</v>
      </c>
      <c r="C18" s="794">
        <v>0</v>
      </c>
      <c r="D18" s="795">
        <v>0</v>
      </c>
      <c r="E18" s="788">
        <f t="shared" si="0"/>
        <v>0</v>
      </c>
    </row>
    <row r="19" spans="1:5" ht="15" thickBot="1" x14ac:dyDescent="0.4">
      <c r="A19" s="606" t="s">
        <v>212</v>
      </c>
      <c r="B19" s="607" t="s">
        <v>213</v>
      </c>
      <c r="C19" s="796">
        <v>0</v>
      </c>
      <c r="D19" s="795">
        <v>0</v>
      </c>
      <c r="E19" s="788">
        <f t="shared" si="0"/>
        <v>0</v>
      </c>
    </row>
    <row r="20" spans="1:5" ht="15" thickBot="1" x14ac:dyDescent="0.4">
      <c r="A20" s="421">
        <v>40199</v>
      </c>
      <c r="B20" s="610" t="s">
        <v>214</v>
      </c>
      <c r="C20" s="797">
        <f>SUM(C13:C19)</f>
        <v>0</v>
      </c>
      <c r="D20" s="798">
        <f>SUM(D13:D19)</f>
        <v>0</v>
      </c>
      <c r="E20" s="456">
        <f>SUM(E13:E19)</f>
        <v>0</v>
      </c>
    </row>
    <row r="21" spans="1:5" x14ac:dyDescent="0.35">
      <c r="A21" s="411" t="s">
        <v>215</v>
      </c>
      <c r="B21" s="450" t="s">
        <v>216</v>
      </c>
      <c r="C21" s="799">
        <v>0</v>
      </c>
      <c r="D21" s="795">
        <v>0</v>
      </c>
      <c r="E21" s="788">
        <f>C21+D21</f>
        <v>0</v>
      </c>
    </row>
    <row r="22" spans="1:5" x14ac:dyDescent="0.35">
      <c r="A22" s="411" t="s">
        <v>217</v>
      </c>
      <c r="B22" s="615" t="s">
        <v>218</v>
      </c>
      <c r="C22" s="800">
        <v>0</v>
      </c>
      <c r="D22" s="795">
        <v>0</v>
      </c>
      <c r="E22" s="788">
        <f>C22+D22</f>
        <v>0</v>
      </c>
    </row>
    <row r="23" spans="1:5" ht="15" thickBot="1" x14ac:dyDescent="0.4">
      <c r="A23" s="411" t="s">
        <v>219</v>
      </c>
      <c r="B23" s="450" t="s">
        <v>220</v>
      </c>
      <c r="C23" s="800">
        <v>0</v>
      </c>
      <c r="D23" s="795">
        <v>0</v>
      </c>
      <c r="E23" s="788">
        <f>C23+D23</f>
        <v>0</v>
      </c>
    </row>
    <row r="24" spans="1:5" ht="15" thickBot="1" x14ac:dyDescent="0.4">
      <c r="A24" s="421">
        <v>49999</v>
      </c>
      <c r="B24" s="610" t="s">
        <v>221</v>
      </c>
      <c r="C24" s="797">
        <f>C20+C21+C22+C23</f>
        <v>0</v>
      </c>
      <c r="D24" s="798">
        <f>D20+D21+D22+D23</f>
        <v>0</v>
      </c>
      <c r="E24" s="456">
        <f>E20+E21+E22+E23</f>
        <v>0</v>
      </c>
    </row>
    <row r="25" spans="1:5" x14ac:dyDescent="0.35">
      <c r="A25" s="399" t="s">
        <v>222</v>
      </c>
      <c r="B25" s="538"/>
      <c r="C25" s="801"/>
      <c r="D25" s="793"/>
      <c r="E25" s="788"/>
    </row>
    <row r="26" spans="1:5" x14ac:dyDescent="0.35">
      <c r="A26" s="444" t="s">
        <v>223</v>
      </c>
      <c r="B26" s="450" t="s">
        <v>224</v>
      </c>
      <c r="C26" s="800">
        <v>0</v>
      </c>
      <c r="D26" s="795">
        <v>0</v>
      </c>
      <c r="E26" s="788">
        <f t="shared" ref="E26:E31" si="1">C26+D26</f>
        <v>0</v>
      </c>
    </row>
    <row r="27" spans="1:5" x14ac:dyDescent="0.35">
      <c r="A27" s="445" t="s">
        <v>225</v>
      </c>
      <c r="B27" s="450" t="s">
        <v>226</v>
      </c>
      <c r="C27" s="800">
        <v>0</v>
      </c>
      <c r="D27" s="795">
        <v>0</v>
      </c>
      <c r="E27" s="788">
        <f t="shared" si="1"/>
        <v>0</v>
      </c>
    </row>
    <row r="28" spans="1:5" x14ac:dyDescent="0.35">
      <c r="A28" s="445" t="s">
        <v>227</v>
      </c>
      <c r="B28" s="450" t="s">
        <v>228</v>
      </c>
      <c r="C28" s="800">
        <v>0</v>
      </c>
      <c r="D28" s="795">
        <v>0</v>
      </c>
      <c r="E28" s="788">
        <f t="shared" si="1"/>
        <v>0</v>
      </c>
    </row>
    <row r="29" spans="1:5" x14ac:dyDescent="0.35">
      <c r="A29" s="411" t="s">
        <v>229</v>
      </c>
      <c r="B29" s="450" t="s">
        <v>230</v>
      </c>
      <c r="C29" s="800">
        <v>0</v>
      </c>
      <c r="D29" s="795">
        <v>0</v>
      </c>
      <c r="E29" s="788">
        <f t="shared" si="1"/>
        <v>0</v>
      </c>
    </row>
    <row r="30" spans="1:5" x14ac:dyDescent="0.35">
      <c r="A30" s="411" t="s">
        <v>231</v>
      </c>
      <c r="B30" s="450" t="s">
        <v>232</v>
      </c>
      <c r="C30" s="800">
        <v>0</v>
      </c>
      <c r="D30" s="795">
        <v>0</v>
      </c>
      <c r="E30" s="788">
        <f t="shared" si="1"/>
        <v>0</v>
      </c>
    </row>
    <row r="31" spans="1:5" ht="15" thickBot="1" x14ac:dyDescent="0.4">
      <c r="A31" s="411" t="s">
        <v>233</v>
      </c>
      <c r="B31" s="450" t="s">
        <v>234</v>
      </c>
      <c r="C31" s="802">
        <v>0</v>
      </c>
      <c r="D31" s="795">
        <v>0</v>
      </c>
      <c r="E31" s="788">
        <f t="shared" si="1"/>
        <v>0</v>
      </c>
    </row>
    <row r="32" spans="1:5" ht="15" thickBot="1" x14ac:dyDescent="0.4">
      <c r="A32" s="421" t="s">
        <v>235</v>
      </c>
      <c r="B32" s="610" t="s">
        <v>236</v>
      </c>
      <c r="C32" s="797">
        <f>SUM(C26:C31)</f>
        <v>0</v>
      </c>
      <c r="D32" s="798">
        <f>SUM(D26:D31)</f>
        <v>0</v>
      </c>
      <c r="E32" s="456">
        <f>SUM(E26:E31)</f>
        <v>0</v>
      </c>
    </row>
    <row r="33" spans="1:5" x14ac:dyDescent="0.35">
      <c r="A33" s="399" t="s">
        <v>237</v>
      </c>
      <c r="B33" s="538"/>
      <c r="C33" s="801"/>
      <c r="D33" s="793"/>
      <c r="E33" s="788"/>
    </row>
    <row r="34" spans="1:5" x14ac:dyDescent="0.35">
      <c r="A34" s="411" t="s">
        <v>238</v>
      </c>
      <c r="B34" s="450" t="s">
        <v>239</v>
      </c>
      <c r="C34" s="800">
        <v>0</v>
      </c>
      <c r="D34" s="795">
        <v>0</v>
      </c>
      <c r="E34" s="788">
        <f t="shared" ref="E34:E48" si="2">C34+D34</f>
        <v>0</v>
      </c>
    </row>
    <row r="35" spans="1:5" x14ac:dyDescent="0.35">
      <c r="A35" s="411" t="s">
        <v>240</v>
      </c>
      <c r="B35" s="450" t="s">
        <v>241</v>
      </c>
      <c r="C35" s="800">
        <v>0</v>
      </c>
      <c r="D35" s="795">
        <v>0</v>
      </c>
      <c r="E35" s="788">
        <f t="shared" si="2"/>
        <v>0</v>
      </c>
    </row>
    <row r="36" spans="1:5" x14ac:dyDescent="0.35">
      <c r="A36" s="411" t="s">
        <v>242</v>
      </c>
      <c r="B36" s="450" t="s">
        <v>243</v>
      </c>
      <c r="C36" s="800">
        <v>0</v>
      </c>
      <c r="D36" s="795">
        <v>0</v>
      </c>
      <c r="E36" s="788">
        <f t="shared" si="2"/>
        <v>0</v>
      </c>
    </row>
    <row r="37" spans="1:5" x14ac:dyDescent="0.35">
      <c r="A37" s="411" t="s">
        <v>244</v>
      </c>
      <c r="B37" s="450" t="s">
        <v>245</v>
      </c>
      <c r="C37" s="800">
        <v>0</v>
      </c>
      <c r="D37" s="795">
        <v>0</v>
      </c>
      <c r="E37" s="788">
        <f t="shared" si="2"/>
        <v>0</v>
      </c>
    </row>
    <row r="38" spans="1:5" x14ac:dyDescent="0.35">
      <c r="A38" s="411" t="s">
        <v>246</v>
      </c>
      <c r="B38" s="450" t="s">
        <v>247</v>
      </c>
      <c r="C38" s="800">
        <v>0</v>
      </c>
      <c r="D38" s="795">
        <v>0</v>
      </c>
      <c r="E38" s="788">
        <f t="shared" si="2"/>
        <v>0</v>
      </c>
    </row>
    <row r="39" spans="1:5" x14ac:dyDescent="0.35">
      <c r="A39" s="411" t="s">
        <v>248</v>
      </c>
      <c r="B39" s="450" t="s">
        <v>249</v>
      </c>
      <c r="C39" s="800">
        <v>0</v>
      </c>
      <c r="D39" s="795">
        <v>0</v>
      </c>
      <c r="E39" s="788">
        <f t="shared" si="2"/>
        <v>0</v>
      </c>
    </row>
    <row r="40" spans="1:5" x14ac:dyDescent="0.35">
      <c r="A40" s="411" t="s">
        <v>250</v>
      </c>
      <c r="B40" s="450" t="s">
        <v>251</v>
      </c>
      <c r="C40" s="800">
        <v>0</v>
      </c>
      <c r="D40" s="795">
        <v>0</v>
      </c>
      <c r="E40" s="788">
        <f t="shared" si="2"/>
        <v>0</v>
      </c>
    </row>
    <row r="41" spans="1:5" x14ac:dyDescent="0.35">
      <c r="A41" s="411" t="s">
        <v>252</v>
      </c>
      <c r="B41" s="450" t="s">
        <v>253</v>
      </c>
      <c r="C41" s="800">
        <v>0</v>
      </c>
      <c r="D41" s="795">
        <v>0</v>
      </c>
      <c r="E41" s="788">
        <f t="shared" si="2"/>
        <v>0</v>
      </c>
    </row>
    <row r="42" spans="1:5" x14ac:dyDescent="0.35">
      <c r="A42" s="411" t="s">
        <v>254</v>
      </c>
      <c r="B42" s="450" t="s">
        <v>255</v>
      </c>
      <c r="C42" s="800">
        <v>0</v>
      </c>
      <c r="D42" s="795">
        <v>0</v>
      </c>
      <c r="E42" s="788">
        <f t="shared" si="2"/>
        <v>0</v>
      </c>
    </row>
    <row r="43" spans="1:5" x14ac:dyDescent="0.35">
      <c r="A43" s="411" t="s">
        <v>256</v>
      </c>
      <c r="B43" s="450" t="s">
        <v>257</v>
      </c>
      <c r="C43" s="800">
        <v>0</v>
      </c>
      <c r="D43" s="795">
        <v>0</v>
      </c>
      <c r="E43" s="788">
        <f t="shared" si="2"/>
        <v>0</v>
      </c>
    </row>
    <row r="44" spans="1:5" x14ac:dyDescent="0.35">
      <c r="A44" s="411" t="s">
        <v>258</v>
      </c>
      <c r="B44" s="450" t="s">
        <v>259</v>
      </c>
      <c r="C44" s="800">
        <v>0</v>
      </c>
      <c r="D44" s="795">
        <v>0</v>
      </c>
      <c r="E44" s="788">
        <f t="shared" si="2"/>
        <v>0</v>
      </c>
    </row>
    <row r="45" spans="1:5" x14ac:dyDescent="0.35">
      <c r="A45" s="411" t="s">
        <v>260</v>
      </c>
      <c r="B45" s="450" t="s">
        <v>261</v>
      </c>
      <c r="C45" s="800">
        <v>0</v>
      </c>
      <c r="D45" s="795">
        <v>0</v>
      </c>
      <c r="E45" s="788">
        <f t="shared" si="2"/>
        <v>0</v>
      </c>
    </row>
    <row r="46" spans="1:5" x14ac:dyDescent="0.35">
      <c r="A46" s="411" t="s">
        <v>262</v>
      </c>
      <c r="B46" s="450" t="s">
        <v>263</v>
      </c>
      <c r="C46" s="800">
        <v>0</v>
      </c>
      <c r="D46" s="795">
        <v>0</v>
      </c>
      <c r="E46" s="788">
        <f t="shared" si="2"/>
        <v>0</v>
      </c>
    </row>
    <row r="47" spans="1:5" x14ac:dyDescent="0.35">
      <c r="A47" s="411" t="s">
        <v>264</v>
      </c>
      <c r="B47" s="450" t="s">
        <v>265</v>
      </c>
      <c r="C47" s="800">
        <v>0</v>
      </c>
      <c r="D47" s="795">
        <v>0</v>
      </c>
      <c r="E47" s="788">
        <f t="shared" si="2"/>
        <v>0</v>
      </c>
    </row>
    <row r="48" spans="1:5" ht="15" thickBot="1" x14ac:dyDescent="0.4">
      <c r="A48" s="411" t="s">
        <v>266</v>
      </c>
      <c r="B48" s="450" t="s">
        <v>267</v>
      </c>
      <c r="C48" s="802">
        <v>0</v>
      </c>
      <c r="D48" s="795">
        <v>0</v>
      </c>
      <c r="E48" s="788">
        <f t="shared" si="2"/>
        <v>0</v>
      </c>
    </row>
    <row r="49" spans="1:5" ht="15" thickBot="1" x14ac:dyDescent="0.4">
      <c r="A49" s="421" t="s">
        <v>268</v>
      </c>
      <c r="B49" s="610" t="s">
        <v>269</v>
      </c>
      <c r="C49" s="797">
        <f>SUM(C34:C48)</f>
        <v>0</v>
      </c>
      <c r="D49" s="798">
        <f>SUM(D34:D48)</f>
        <v>0</v>
      </c>
      <c r="E49" s="456">
        <f>SUM(E34:E48)</f>
        <v>0</v>
      </c>
    </row>
    <row r="50" spans="1:5" x14ac:dyDescent="0.35">
      <c r="A50" s="399" t="s">
        <v>270</v>
      </c>
      <c r="B50" s="538"/>
      <c r="C50" s="801"/>
      <c r="D50" s="793"/>
      <c r="E50" s="788"/>
    </row>
    <row r="51" spans="1:5" x14ac:dyDescent="0.35">
      <c r="A51" s="411" t="s">
        <v>271</v>
      </c>
      <c r="B51" s="450" t="s">
        <v>272</v>
      </c>
      <c r="C51" s="800">
        <v>0</v>
      </c>
      <c r="D51" s="795">
        <v>0</v>
      </c>
      <c r="E51" s="788">
        <f t="shared" ref="E51:E65" si="3">C51+D51</f>
        <v>0</v>
      </c>
    </row>
    <row r="52" spans="1:5" x14ac:dyDescent="0.35">
      <c r="A52" s="411" t="s">
        <v>273</v>
      </c>
      <c r="B52" s="450" t="s">
        <v>274</v>
      </c>
      <c r="C52" s="800">
        <v>0</v>
      </c>
      <c r="D52" s="795">
        <v>0</v>
      </c>
      <c r="E52" s="788">
        <f t="shared" si="3"/>
        <v>0</v>
      </c>
    </row>
    <row r="53" spans="1:5" x14ac:dyDescent="0.35">
      <c r="A53" s="411" t="s">
        <v>275</v>
      </c>
      <c r="B53" s="450" t="s">
        <v>276</v>
      </c>
      <c r="C53" s="800">
        <v>0</v>
      </c>
      <c r="D53" s="795">
        <v>0</v>
      </c>
      <c r="E53" s="788">
        <f t="shared" si="3"/>
        <v>0</v>
      </c>
    </row>
    <row r="54" spans="1:5" x14ac:dyDescent="0.35">
      <c r="A54" s="411" t="s">
        <v>277</v>
      </c>
      <c r="B54" s="450" t="s">
        <v>278</v>
      </c>
      <c r="C54" s="800">
        <v>0</v>
      </c>
      <c r="D54" s="795">
        <v>0</v>
      </c>
      <c r="E54" s="788">
        <f t="shared" si="3"/>
        <v>0</v>
      </c>
    </row>
    <row r="55" spans="1:5" x14ac:dyDescent="0.35">
      <c r="A55" s="411" t="s">
        <v>279</v>
      </c>
      <c r="B55" s="450" t="s">
        <v>280</v>
      </c>
      <c r="C55" s="800">
        <v>0</v>
      </c>
      <c r="D55" s="795">
        <v>0</v>
      </c>
      <c r="E55" s="788">
        <f t="shared" si="3"/>
        <v>0</v>
      </c>
    </row>
    <row r="56" spans="1:5" x14ac:dyDescent="0.35">
      <c r="A56" s="411" t="s">
        <v>281</v>
      </c>
      <c r="B56" s="450" t="s">
        <v>282</v>
      </c>
      <c r="C56" s="800">
        <v>0</v>
      </c>
      <c r="D56" s="795">
        <v>0</v>
      </c>
      <c r="E56" s="788">
        <f t="shared" si="3"/>
        <v>0</v>
      </c>
    </row>
    <row r="57" spans="1:5" x14ac:dyDescent="0.35">
      <c r="A57" s="411" t="s">
        <v>283</v>
      </c>
      <c r="B57" s="450" t="s">
        <v>284</v>
      </c>
      <c r="C57" s="800">
        <v>0</v>
      </c>
      <c r="D57" s="795">
        <v>0</v>
      </c>
      <c r="E57" s="788">
        <f t="shared" si="3"/>
        <v>0</v>
      </c>
    </row>
    <row r="58" spans="1:5" x14ac:dyDescent="0.35">
      <c r="A58" s="411" t="s">
        <v>285</v>
      </c>
      <c r="B58" s="450" t="s">
        <v>286</v>
      </c>
      <c r="C58" s="800">
        <v>0</v>
      </c>
      <c r="D58" s="795">
        <v>0</v>
      </c>
      <c r="E58" s="788">
        <f t="shared" si="3"/>
        <v>0</v>
      </c>
    </row>
    <row r="59" spans="1:5" x14ac:dyDescent="0.35">
      <c r="A59" s="411" t="s">
        <v>287</v>
      </c>
      <c r="B59" s="622" t="s">
        <v>288</v>
      </c>
      <c r="C59" s="800">
        <v>0</v>
      </c>
      <c r="D59" s="795">
        <v>0</v>
      </c>
      <c r="E59" s="788">
        <f t="shared" si="3"/>
        <v>0</v>
      </c>
    </row>
    <row r="60" spans="1:5" x14ac:dyDescent="0.35">
      <c r="A60" s="411" t="s">
        <v>289</v>
      </c>
      <c r="B60" s="450" t="s">
        <v>290</v>
      </c>
      <c r="C60" s="800">
        <v>0</v>
      </c>
      <c r="D60" s="795">
        <v>0</v>
      </c>
      <c r="E60" s="788">
        <f t="shared" si="3"/>
        <v>0</v>
      </c>
    </row>
    <row r="61" spans="1:5" x14ac:dyDescent="0.35">
      <c r="A61" s="411" t="s">
        <v>291</v>
      </c>
      <c r="B61" s="450" t="s">
        <v>292</v>
      </c>
      <c r="C61" s="800">
        <v>0</v>
      </c>
      <c r="D61" s="795">
        <v>0</v>
      </c>
      <c r="E61" s="788">
        <f t="shared" si="3"/>
        <v>0</v>
      </c>
    </row>
    <row r="62" spans="1:5" x14ac:dyDescent="0.35">
      <c r="A62" s="411" t="s">
        <v>293</v>
      </c>
      <c r="B62" s="450" t="s">
        <v>294</v>
      </c>
      <c r="C62" s="800">
        <v>0</v>
      </c>
      <c r="D62" s="795">
        <v>0</v>
      </c>
      <c r="E62" s="788">
        <f t="shared" si="3"/>
        <v>0</v>
      </c>
    </row>
    <row r="63" spans="1:5" x14ac:dyDescent="0.35">
      <c r="A63" s="411" t="s">
        <v>295</v>
      </c>
      <c r="B63" s="450" t="s">
        <v>296</v>
      </c>
      <c r="C63" s="800">
        <v>0</v>
      </c>
      <c r="D63" s="795">
        <v>0</v>
      </c>
      <c r="E63" s="788">
        <f t="shared" si="3"/>
        <v>0</v>
      </c>
    </row>
    <row r="64" spans="1:5" x14ac:dyDescent="0.35">
      <c r="A64" s="411" t="s">
        <v>297</v>
      </c>
      <c r="B64" s="450" t="s">
        <v>298</v>
      </c>
      <c r="C64" s="800">
        <v>0</v>
      </c>
      <c r="D64" s="795">
        <v>0</v>
      </c>
      <c r="E64" s="788">
        <f t="shared" si="3"/>
        <v>0</v>
      </c>
    </row>
    <row r="65" spans="1:5" ht="15" thickBot="1" x14ac:dyDescent="0.4">
      <c r="A65" s="411" t="s">
        <v>299</v>
      </c>
      <c r="B65" s="450" t="s">
        <v>300</v>
      </c>
      <c r="C65" s="802">
        <v>0</v>
      </c>
      <c r="D65" s="795">
        <v>0</v>
      </c>
      <c r="E65" s="788">
        <f t="shared" si="3"/>
        <v>0</v>
      </c>
    </row>
    <row r="66" spans="1:5" ht="15" thickBot="1" x14ac:dyDescent="0.4">
      <c r="A66" s="421">
        <v>50389</v>
      </c>
      <c r="B66" s="610" t="s">
        <v>301</v>
      </c>
      <c r="C66" s="797">
        <f>SUM(C51:C65)</f>
        <v>0</v>
      </c>
      <c r="D66" s="798">
        <f>SUM(D51:D65)</f>
        <v>0</v>
      </c>
      <c r="E66" s="456">
        <f>SUM(E51:E65)</f>
        <v>0</v>
      </c>
    </row>
    <row r="67" spans="1:5" x14ac:dyDescent="0.35">
      <c r="A67" s="399" t="s">
        <v>302</v>
      </c>
      <c r="B67" s="538"/>
      <c r="C67" s="801"/>
      <c r="D67" s="793"/>
      <c r="E67" s="788"/>
    </row>
    <row r="68" spans="1:5" x14ac:dyDescent="0.35">
      <c r="A68" s="411" t="s">
        <v>303</v>
      </c>
      <c r="B68" s="450" t="s">
        <v>304</v>
      </c>
      <c r="C68" s="800">
        <v>0</v>
      </c>
      <c r="D68" s="795">
        <v>0</v>
      </c>
      <c r="E68" s="788">
        <f t="shared" ref="E68:E87" si="4">C68+D68</f>
        <v>0</v>
      </c>
    </row>
    <row r="69" spans="1:5" x14ac:dyDescent="0.35">
      <c r="A69" s="411" t="s">
        <v>305</v>
      </c>
      <c r="B69" s="450" t="s">
        <v>306</v>
      </c>
      <c r="C69" s="800">
        <v>0</v>
      </c>
      <c r="D69" s="795">
        <v>0</v>
      </c>
      <c r="E69" s="788">
        <f t="shared" si="4"/>
        <v>0</v>
      </c>
    </row>
    <row r="70" spans="1:5" x14ac:dyDescent="0.35">
      <c r="A70" s="411" t="s">
        <v>307</v>
      </c>
      <c r="B70" s="450" t="s">
        <v>308</v>
      </c>
      <c r="C70" s="800">
        <v>0</v>
      </c>
      <c r="D70" s="795">
        <v>0</v>
      </c>
      <c r="E70" s="788">
        <f t="shared" si="4"/>
        <v>0</v>
      </c>
    </row>
    <row r="71" spans="1:5" x14ac:dyDescent="0.35">
      <c r="A71" s="411" t="s">
        <v>309</v>
      </c>
      <c r="B71" s="450" t="s">
        <v>310</v>
      </c>
      <c r="C71" s="800">
        <v>0</v>
      </c>
      <c r="D71" s="795">
        <v>0</v>
      </c>
      <c r="E71" s="788">
        <f t="shared" si="4"/>
        <v>0</v>
      </c>
    </row>
    <row r="72" spans="1:5" x14ac:dyDescent="0.35">
      <c r="A72" s="411" t="s">
        <v>311</v>
      </c>
      <c r="B72" s="450" t="s">
        <v>312</v>
      </c>
      <c r="C72" s="800">
        <v>0</v>
      </c>
      <c r="D72" s="795">
        <v>0</v>
      </c>
      <c r="E72" s="788">
        <f t="shared" si="4"/>
        <v>0</v>
      </c>
    </row>
    <row r="73" spans="1:5" x14ac:dyDescent="0.35">
      <c r="A73" s="411" t="s">
        <v>313</v>
      </c>
      <c r="B73" s="450" t="s">
        <v>314</v>
      </c>
      <c r="C73" s="800">
        <v>0</v>
      </c>
      <c r="D73" s="795">
        <v>0</v>
      </c>
      <c r="E73" s="788">
        <f t="shared" si="4"/>
        <v>0</v>
      </c>
    </row>
    <row r="74" spans="1:5" x14ac:dyDescent="0.35">
      <c r="A74" s="411" t="s">
        <v>315</v>
      </c>
      <c r="B74" s="450" t="s">
        <v>316</v>
      </c>
      <c r="C74" s="800">
        <v>0</v>
      </c>
      <c r="D74" s="795">
        <v>0</v>
      </c>
      <c r="E74" s="788">
        <f t="shared" si="4"/>
        <v>0</v>
      </c>
    </row>
    <row r="75" spans="1:5" x14ac:dyDescent="0.35">
      <c r="A75" s="411" t="s">
        <v>317</v>
      </c>
      <c r="B75" s="450" t="s">
        <v>318</v>
      </c>
      <c r="C75" s="800">
        <v>0</v>
      </c>
      <c r="D75" s="795">
        <v>0</v>
      </c>
      <c r="E75" s="788">
        <f t="shared" si="4"/>
        <v>0</v>
      </c>
    </row>
    <row r="76" spans="1:5" x14ac:dyDescent="0.35">
      <c r="A76" s="411" t="s">
        <v>319</v>
      </c>
      <c r="B76" s="450" t="s">
        <v>320</v>
      </c>
      <c r="C76" s="800">
        <v>0</v>
      </c>
      <c r="D76" s="795">
        <v>0</v>
      </c>
      <c r="E76" s="788">
        <f t="shared" si="4"/>
        <v>0</v>
      </c>
    </row>
    <row r="77" spans="1:5" x14ac:dyDescent="0.35">
      <c r="A77" s="411" t="s">
        <v>321</v>
      </c>
      <c r="B77" s="450" t="s">
        <v>322</v>
      </c>
      <c r="C77" s="800">
        <v>0</v>
      </c>
      <c r="D77" s="795">
        <v>0</v>
      </c>
      <c r="E77" s="788">
        <f t="shared" si="4"/>
        <v>0</v>
      </c>
    </row>
    <row r="78" spans="1:5" x14ac:dyDescent="0.35">
      <c r="A78" s="411" t="s">
        <v>323</v>
      </c>
      <c r="B78" s="450" t="s">
        <v>324</v>
      </c>
      <c r="C78" s="800">
        <v>0</v>
      </c>
      <c r="D78" s="795">
        <v>0</v>
      </c>
      <c r="E78" s="788">
        <f t="shared" si="4"/>
        <v>0</v>
      </c>
    </row>
    <row r="79" spans="1:5" x14ac:dyDescent="0.35">
      <c r="A79" s="411" t="s">
        <v>325</v>
      </c>
      <c r="B79" s="450" t="s">
        <v>326</v>
      </c>
      <c r="C79" s="800">
        <v>0</v>
      </c>
      <c r="D79" s="795">
        <v>0</v>
      </c>
      <c r="E79" s="788">
        <f t="shared" si="4"/>
        <v>0</v>
      </c>
    </row>
    <row r="80" spans="1:5" x14ac:dyDescent="0.35">
      <c r="A80" s="411" t="s">
        <v>327</v>
      </c>
      <c r="B80" s="450" t="s">
        <v>328</v>
      </c>
      <c r="C80" s="800">
        <v>0</v>
      </c>
      <c r="D80" s="795">
        <v>0</v>
      </c>
      <c r="E80" s="788">
        <f t="shared" si="4"/>
        <v>0</v>
      </c>
    </row>
    <row r="81" spans="1:5" x14ac:dyDescent="0.35">
      <c r="A81" s="411" t="s">
        <v>329</v>
      </c>
      <c r="B81" s="450" t="s">
        <v>330</v>
      </c>
      <c r="C81" s="800">
        <v>0</v>
      </c>
      <c r="D81" s="795">
        <v>0</v>
      </c>
      <c r="E81" s="788">
        <f t="shared" si="4"/>
        <v>0</v>
      </c>
    </row>
    <row r="82" spans="1:5" x14ac:dyDescent="0.35">
      <c r="A82" s="411" t="s">
        <v>331</v>
      </c>
      <c r="B82" s="450" t="s">
        <v>332</v>
      </c>
      <c r="C82" s="800">
        <v>0</v>
      </c>
      <c r="D82" s="795">
        <v>0</v>
      </c>
      <c r="E82" s="788">
        <f t="shared" si="4"/>
        <v>0</v>
      </c>
    </row>
    <row r="83" spans="1:5" x14ac:dyDescent="0.35">
      <c r="A83" s="411" t="s">
        <v>333</v>
      </c>
      <c r="B83" s="450" t="s">
        <v>334</v>
      </c>
      <c r="C83" s="800">
        <v>0</v>
      </c>
      <c r="D83" s="795">
        <v>0</v>
      </c>
      <c r="E83" s="788">
        <f t="shared" si="4"/>
        <v>0</v>
      </c>
    </row>
    <row r="84" spans="1:5" x14ac:dyDescent="0.35">
      <c r="A84" s="411" t="s">
        <v>335</v>
      </c>
      <c r="B84" s="450" t="s">
        <v>336</v>
      </c>
      <c r="C84" s="800">
        <v>0</v>
      </c>
      <c r="D84" s="795">
        <v>0</v>
      </c>
      <c r="E84" s="788">
        <f t="shared" si="4"/>
        <v>0</v>
      </c>
    </row>
    <row r="85" spans="1:5" x14ac:dyDescent="0.35">
      <c r="A85" s="411" t="s">
        <v>337</v>
      </c>
      <c r="B85" s="450" t="s">
        <v>338</v>
      </c>
      <c r="C85" s="800">
        <v>0</v>
      </c>
      <c r="D85" s="795">
        <v>0</v>
      </c>
      <c r="E85" s="788">
        <f t="shared" si="4"/>
        <v>0</v>
      </c>
    </row>
    <row r="86" spans="1:5" x14ac:dyDescent="0.35">
      <c r="A86" s="451" t="s">
        <v>339</v>
      </c>
      <c r="B86" s="452" t="s">
        <v>340</v>
      </c>
      <c r="C86" s="803">
        <f>SUM(C83:C85)</f>
        <v>0</v>
      </c>
      <c r="D86" s="804">
        <f>SUM(D83:D85)</f>
        <v>0</v>
      </c>
      <c r="E86" s="805">
        <f t="shared" si="4"/>
        <v>0</v>
      </c>
    </row>
    <row r="87" spans="1:5" ht="15" thickBot="1" x14ac:dyDescent="0.4">
      <c r="A87" s="411" t="s">
        <v>341</v>
      </c>
      <c r="B87" s="450" t="s">
        <v>342</v>
      </c>
      <c r="C87" s="800">
        <v>0</v>
      </c>
      <c r="D87" s="795">
        <v>0</v>
      </c>
      <c r="E87" s="788">
        <f t="shared" si="4"/>
        <v>0</v>
      </c>
    </row>
    <row r="88" spans="1:5" ht="15" thickBot="1" x14ac:dyDescent="0.4">
      <c r="A88" s="421">
        <v>50399</v>
      </c>
      <c r="B88" s="610" t="s">
        <v>343</v>
      </c>
      <c r="C88" s="797">
        <f>SUM(C68:C82)+C86+C87</f>
        <v>0</v>
      </c>
      <c r="D88" s="798">
        <f>SUM(D68:D82)+D86+D87</f>
        <v>0</v>
      </c>
      <c r="E88" s="456">
        <f>SUM(E68:E82)+E86+E87</f>
        <v>0</v>
      </c>
    </row>
    <row r="89" spans="1:5" ht="15" thickBot="1" x14ac:dyDescent="0.4">
      <c r="A89" s="411" t="s">
        <v>344</v>
      </c>
      <c r="B89" s="450" t="s">
        <v>345</v>
      </c>
      <c r="C89" s="806">
        <v>0</v>
      </c>
      <c r="D89" s="787">
        <v>0</v>
      </c>
      <c r="E89" s="788">
        <f>C89+D89</f>
        <v>0</v>
      </c>
    </row>
    <row r="90" spans="1:5" ht="15" thickBot="1" x14ac:dyDescent="0.4">
      <c r="A90" s="421">
        <v>59999</v>
      </c>
      <c r="B90" s="610" t="s">
        <v>346</v>
      </c>
      <c r="C90" s="797">
        <f>C32+C49+C66+C88+C89</f>
        <v>0</v>
      </c>
      <c r="D90" s="798">
        <f>D32+D49+D66+D88+D89</f>
        <v>0</v>
      </c>
      <c r="E90" s="456">
        <f>E32+E49+E66+E88+E89</f>
        <v>0</v>
      </c>
    </row>
    <row r="91" spans="1:5" x14ac:dyDescent="0.35">
      <c r="A91" s="458" t="s">
        <v>347</v>
      </c>
      <c r="B91" s="538"/>
      <c r="C91" s="807"/>
      <c r="D91" s="793"/>
      <c r="E91" s="788"/>
    </row>
    <row r="92" spans="1:5" x14ac:dyDescent="0.35">
      <c r="A92" s="411" t="s">
        <v>348</v>
      </c>
      <c r="B92" s="450" t="s">
        <v>349</v>
      </c>
      <c r="C92" s="800">
        <v>0</v>
      </c>
      <c r="D92" s="795">
        <v>0</v>
      </c>
      <c r="E92" s="788">
        <f>SUM(C92:D92)</f>
        <v>0</v>
      </c>
    </row>
    <row r="93" spans="1:5" ht="12" customHeight="1" x14ac:dyDescent="0.35">
      <c r="A93" s="411" t="s">
        <v>350</v>
      </c>
      <c r="B93" s="450" t="s">
        <v>351</v>
      </c>
      <c r="C93" s="800">
        <v>0</v>
      </c>
      <c r="D93" s="795">
        <v>0</v>
      </c>
      <c r="E93" s="788">
        <f>SUM(C93:D93)</f>
        <v>0</v>
      </c>
    </row>
    <row r="94" spans="1:5" x14ac:dyDescent="0.35">
      <c r="A94" s="411" t="s">
        <v>352</v>
      </c>
      <c r="B94" s="450" t="s">
        <v>353</v>
      </c>
      <c r="C94" s="800">
        <v>0</v>
      </c>
      <c r="D94" s="795">
        <v>0</v>
      </c>
      <c r="E94" s="788">
        <f>SUM(C94:D94)</f>
        <v>0</v>
      </c>
    </row>
    <row r="95" spans="1:5" x14ac:dyDescent="0.35">
      <c r="A95" s="411" t="s">
        <v>354</v>
      </c>
      <c r="B95" s="450" t="s">
        <v>355</v>
      </c>
      <c r="C95" s="800">
        <v>0</v>
      </c>
      <c r="D95" s="795">
        <v>0</v>
      </c>
      <c r="E95" s="788">
        <f>SUM(C95:D95)</f>
        <v>0</v>
      </c>
    </row>
    <row r="96" spans="1:5" ht="15" thickBot="1" x14ac:dyDescent="0.4">
      <c r="A96" s="411" t="s">
        <v>356</v>
      </c>
      <c r="B96" s="450" t="s">
        <v>357</v>
      </c>
      <c r="C96" s="802">
        <v>0</v>
      </c>
      <c r="D96" s="795">
        <v>0</v>
      </c>
      <c r="E96" s="788">
        <f>SUM(C96:D96)</f>
        <v>0</v>
      </c>
    </row>
    <row r="97" spans="1:5" ht="15" thickBot="1" x14ac:dyDescent="0.4">
      <c r="A97" s="421">
        <v>85999</v>
      </c>
      <c r="B97" s="610" t="s">
        <v>358</v>
      </c>
      <c r="C97" s="797">
        <f>C90+SUM(C92:C96)</f>
        <v>0</v>
      </c>
      <c r="D97" s="798">
        <f>D90+SUM(D92:D96)</f>
        <v>0</v>
      </c>
      <c r="E97" s="456">
        <f>E90+SUM(E92:E96)</f>
        <v>0</v>
      </c>
    </row>
    <row r="98" spans="1:5" ht="10.5" customHeight="1" x14ac:dyDescent="0.35">
      <c r="A98" s="399" t="s">
        <v>359</v>
      </c>
      <c r="B98" s="538"/>
      <c r="C98" s="801"/>
      <c r="D98" s="793"/>
      <c r="E98" s="788"/>
    </row>
    <row r="99" spans="1:5" x14ac:dyDescent="0.35">
      <c r="A99" s="411" t="s">
        <v>360</v>
      </c>
      <c r="B99" s="450" t="s">
        <v>361</v>
      </c>
      <c r="C99" s="800">
        <v>0</v>
      </c>
      <c r="D99" s="795">
        <v>0</v>
      </c>
      <c r="E99" s="788">
        <f t="shared" ref="E99:E118" si="5">C99+D99</f>
        <v>0</v>
      </c>
    </row>
    <row r="100" spans="1:5" x14ac:dyDescent="0.35">
      <c r="A100" s="411" t="s">
        <v>362</v>
      </c>
      <c r="B100" s="450" t="s">
        <v>363</v>
      </c>
      <c r="C100" s="800">
        <v>0</v>
      </c>
      <c r="D100" s="795">
        <v>0</v>
      </c>
      <c r="E100" s="788">
        <f t="shared" si="5"/>
        <v>0</v>
      </c>
    </row>
    <row r="101" spans="1:5" x14ac:dyDescent="0.35">
      <c r="A101" s="411" t="s">
        <v>364</v>
      </c>
      <c r="B101" s="450" t="s">
        <v>365</v>
      </c>
      <c r="C101" s="800">
        <v>0</v>
      </c>
      <c r="D101" s="795">
        <v>0</v>
      </c>
      <c r="E101" s="788">
        <f t="shared" si="5"/>
        <v>0</v>
      </c>
    </row>
    <row r="102" spans="1:5" x14ac:dyDescent="0.35">
      <c r="A102" s="411" t="s">
        <v>366</v>
      </c>
      <c r="B102" s="450" t="s">
        <v>367</v>
      </c>
      <c r="C102" s="800">
        <v>0</v>
      </c>
      <c r="D102" s="795">
        <v>0</v>
      </c>
      <c r="E102" s="788">
        <f t="shared" si="5"/>
        <v>0</v>
      </c>
    </row>
    <row r="103" spans="1:5" x14ac:dyDescent="0.35">
      <c r="A103" s="411" t="s">
        <v>368</v>
      </c>
      <c r="B103" s="450" t="s">
        <v>369</v>
      </c>
      <c r="C103" s="800">
        <v>0</v>
      </c>
      <c r="D103" s="795">
        <v>0</v>
      </c>
      <c r="E103" s="788">
        <f t="shared" si="5"/>
        <v>0</v>
      </c>
    </row>
    <row r="104" spans="1:5" x14ac:dyDescent="0.35">
      <c r="A104" s="411" t="s">
        <v>370</v>
      </c>
      <c r="B104" s="450" t="s">
        <v>371</v>
      </c>
      <c r="C104" s="800">
        <v>0</v>
      </c>
      <c r="D104" s="795">
        <v>0</v>
      </c>
      <c r="E104" s="788">
        <f t="shared" si="5"/>
        <v>0</v>
      </c>
    </row>
    <row r="105" spans="1:5" x14ac:dyDescent="0.35">
      <c r="A105" s="411" t="s">
        <v>372</v>
      </c>
      <c r="B105" s="450" t="s">
        <v>373</v>
      </c>
      <c r="C105" s="800">
        <v>0</v>
      </c>
      <c r="D105" s="795">
        <v>0</v>
      </c>
      <c r="E105" s="788">
        <f t="shared" si="5"/>
        <v>0</v>
      </c>
    </row>
    <row r="106" spans="1:5" x14ac:dyDescent="0.35">
      <c r="A106" s="411" t="s">
        <v>374</v>
      </c>
      <c r="B106" s="450" t="s">
        <v>375</v>
      </c>
      <c r="C106" s="800">
        <v>0</v>
      </c>
      <c r="D106" s="795">
        <v>0</v>
      </c>
      <c r="E106" s="788">
        <f t="shared" si="5"/>
        <v>0</v>
      </c>
    </row>
    <row r="107" spans="1:5" x14ac:dyDescent="0.35">
      <c r="A107" s="411" t="s">
        <v>376</v>
      </c>
      <c r="B107" s="450" t="s">
        <v>377</v>
      </c>
      <c r="C107" s="800">
        <v>0</v>
      </c>
      <c r="D107" s="795">
        <v>0</v>
      </c>
      <c r="E107" s="788">
        <f t="shared" si="5"/>
        <v>0</v>
      </c>
    </row>
    <row r="108" spans="1:5" x14ac:dyDescent="0.35">
      <c r="A108" s="411" t="s">
        <v>378</v>
      </c>
      <c r="B108" s="450" t="s">
        <v>379</v>
      </c>
      <c r="C108" s="800">
        <v>0</v>
      </c>
      <c r="D108" s="795">
        <v>0</v>
      </c>
      <c r="E108" s="788">
        <f t="shared" si="5"/>
        <v>0</v>
      </c>
    </row>
    <row r="109" spans="1:5" x14ac:dyDescent="0.35">
      <c r="A109" s="411" t="s">
        <v>380</v>
      </c>
      <c r="B109" s="450" t="s">
        <v>381</v>
      </c>
      <c r="C109" s="800">
        <v>0</v>
      </c>
      <c r="D109" s="795">
        <v>0</v>
      </c>
      <c r="E109" s="788">
        <f t="shared" si="5"/>
        <v>0</v>
      </c>
    </row>
    <row r="110" spans="1:5" x14ac:dyDescent="0.35">
      <c r="A110" s="411" t="s">
        <v>382</v>
      </c>
      <c r="B110" s="450" t="s">
        <v>383</v>
      </c>
      <c r="C110" s="800">
        <v>0</v>
      </c>
      <c r="D110" s="795">
        <v>0</v>
      </c>
      <c r="E110" s="788">
        <f t="shared" si="5"/>
        <v>0</v>
      </c>
    </row>
    <row r="111" spans="1:5" x14ac:dyDescent="0.35">
      <c r="A111" s="411" t="s">
        <v>384</v>
      </c>
      <c r="B111" s="450" t="s">
        <v>385</v>
      </c>
      <c r="C111" s="800">
        <v>0</v>
      </c>
      <c r="D111" s="795">
        <v>0</v>
      </c>
      <c r="E111" s="788">
        <f t="shared" si="5"/>
        <v>0</v>
      </c>
    </row>
    <row r="112" spans="1:5" x14ac:dyDescent="0.35">
      <c r="A112" s="411" t="s">
        <v>386</v>
      </c>
      <c r="B112" s="450" t="s">
        <v>387</v>
      </c>
      <c r="C112" s="800">
        <v>0</v>
      </c>
      <c r="D112" s="795">
        <v>0</v>
      </c>
      <c r="E112" s="788">
        <f t="shared" si="5"/>
        <v>0</v>
      </c>
    </row>
    <row r="113" spans="1:5" x14ac:dyDescent="0.35">
      <c r="A113" s="411" t="s">
        <v>388</v>
      </c>
      <c r="B113" s="450" t="s">
        <v>389</v>
      </c>
      <c r="C113" s="800">
        <v>0</v>
      </c>
      <c r="D113" s="795">
        <v>0</v>
      </c>
      <c r="E113" s="788">
        <f t="shared" si="5"/>
        <v>0</v>
      </c>
    </row>
    <row r="114" spans="1:5" x14ac:dyDescent="0.35">
      <c r="A114" s="411" t="s">
        <v>390</v>
      </c>
      <c r="B114" s="450" t="s">
        <v>391</v>
      </c>
      <c r="C114" s="800">
        <v>0</v>
      </c>
      <c r="D114" s="795">
        <v>0</v>
      </c>
      <c r="E114" s="788">
        <f t="shared" si="5"/>
        <v>0</v>
      </c>
    </row>
    <row r="115" spans="1:5" x14ac:dyDescent="0.35">
      <c r="A115" s="411" t="s">
        <v>392</v>
      </c>
      <c r="B115" s="631" t="s">
        <v>393</v>
      </c>
      <c r="C115" s="800">
        <v>0</v>
      </c>
      <c r="D115" s="795">
        <v>0</v>
      </c>
      <c r="E115" s="788">
        <f t="shared" si="5"/>
        <v>0</v>
      </c>
    </row>
    <row r="116" spans="1:5" x14ac:dyDescent="0.35">
      <c r="A116" s="411" t="s">
        <v>394</v>
      </c>
      <c r="B116" s="631" t="s">
        <v>395</v>
      </c>
      <c r="C116" s="800">
        <v>0</v>
      </c>
      <c r="D116" s="795">
        <v>0</v>
      </c>
      <c r="E116" s="788">
        <f t="shared" si="5"/>
        <v>0</v>
      </c>
    </row>
    <row r="117" spans="1:5" x14ac:dyDescent="0.35">
      <c r="A117" s="411" t="s">
        <v>396</v>
      </c>
      <c r="B117" s="450" t="s">
        <v>397</v>
      </c>
      <c r="C117" s="800">
        <v>0</v>
      </c>
      <c r="D117" s="795">
        <v>0</v>
      </c>
      <c r="E117" s="788">
        <f t="shared" si="5"/>
        <v>0</v>
      </c>
    </row>
    <row r="118" spans="1:5" ht="15" thickBot="1" x14ac:dyDescent="0.4">
      <c r="A118" s="411" t="s">
        <v>398</v>
      </c>
      <c r="B118" s="450" t="s">
        <v>399</v>
      </c>
      <c r="C118" s="802">
        <v>0</v>
      </c>
      <c r="D118" s="795">
        <v>0</v>
      </c>
      <c r="E118" s="788">
        <f t="shared" si="5"/>
        <v>0</v>
      </c>
    </row>
    <row r="119" spans="1:5" ht="15" thickBot="1" x14ac:dyDescent="0.4">
      <c r="A119" s="421">
        <v>84999</v>
      </c>
      <c r="B119" s="610" t="s">
        <v>400</v>
      </c>
      <c r="C119" s="797">
        <f>SUM(C99:C118)</f>
        <v>0</v>
      </c>
      <c r="D119" s="798">
        <f>SUM(D99:D118)</f>
        <v>0</v>
      </c>
      <c r="E119" s="456">
        <f>SUM(E99:E118)</f>
        <v>0</v>
      </c>
    </row>
    <row r="120" spans="1:5" x14ac:dyDescent="0.35">
      <c r="C120" s="808"/>
      <c r="D120" s="809"/>
      <c r="E120" s="810"/>
    </row>
    <row r="121" spans="1:5" ht="15" thickBot="1" x14ac:dyDescent="0.4">
      <c r="A121" s="1351" t="s">
        <v>401</v>
      </c>
      <c r="B121" s="521" t="s">
        <v>402</v>
      </c>
      <c r="C121" s="811">
        <v>0</v>
      </c>
      <c r="D121" s="812">
        <v>0</v>
      </c>
      <c r="E121" s="813">
        <f>C121+D121</f>
        <v>0</v>
      </c>
    </row>
    <row r="122" spans="1:5" ht="15" thickBot="1" x14ac:dyDescent="0.4">
      <c r="A122" s="421">
        <v>86999</v>
      </c>
      <c r="B122" s="633" t="s">
        <v>403</v>
      </c>
      <c r="C122" s="460">
        <f>C97+C119+C121</f>
        <v>0</v>
      </c>
      <c r="D122" s="461">
        <f>D97+D119+D121</f>
        <v>0</v>
      </c>
      <c r="E122" s="423">
        <f>E97+E119+E121</f>
        <v>0</v>
      </c>
    </row>
    <row r="123" spans="1:5" x14ac:dyDescent="0.35">
      <c r="A123" s="817"/>
      <c r="B123" s="818"/>
      <c r="C123" s="819"/>
      <c r="D123" s="820"/>
      <c r="E123" s="821"/>
    </row>
    <row r="124" spans="1:5" x14ac:dyDescent="0.35">
      <c r="A124" s="470">
        <v>87999</v>
      </c>
      <c r="B124" s="471" t="s">
        <v>404</v>
      </c>
      <c r="C124" s="822">
        <f>(C24-C21)-C122</f>
        <v>0</v>
      </c>
      <c r="D124" s="823">
        <f>(D24-D21)-D122</f>
        <v>0</v>
      </c>
      <c r="E124" s="824">
        <f>(E24-E21)-E122</f>
        <v>0</v>
      </c>
    </row>
    <row r="125" spans="1:5" x14ac:dyDescent="0.35">
      <c r="A125" s="480" t="s">
        <v>405</v>
      </c>
      <c r="B125" s="481" t="s">
        <v>406</v>
      </c>
      <c r="C125" s="819">
        <f>C21</f>
        <v>0</v>
      </c>
      <c r="D125" s="820">
        <f>D21</f>
        <v>0</v>
      </c>
      <c r="E125" s="813">
        <f>E21</f>
        <v>0</v>
      </c>
    </row>
    <row r="126" spans="1:5" ht="13.5" customHeight="1" x14ac:dyDescent="0.35">
      <c r="A126" s="480" t="s">
        <v>407</v>
      </c>
      <c r="B126" s="481" t="s">
        <v>408</v>
      </c>
      <c r="C126" s="811">
        <v>0</v>
      </c>
      <c r="D126" s="414">
        <v>0</v>
      </c>
      <c r="E126" s="813">
        <f>C126+D126</f>
        <v>0</v>
      </c>
    </row>
    <row r="127" spans="1:5" ht="13.5" customHeight="1" x14ac:dyDescent="0.35">
      <c r="A127" s="470">
        <v>88999</v>
      </c>
      <c r="B127" s="471" t="s">
        <v>409</v>
      </c>
      <c r="C127" s="822">
        <f>C125+C126</f>
        <v>0</v>
      </c>
      <c r="D127" s="823">
        <f>D125+D126</f>
        <v>0</v>
      </c>
      <c r="E127" s="824">
        <f>E125+E126</f>
        <v>0</v>
      </c>
    </row>
    <row r="128" spans="1:5" ht="15" thickBot="1" x14ac:dyDescent="0.4">
      <c r="A128" s="493"/>
      <c r="B128" s="494"/>
      <c r="C128" s="825"/>
      <c r="D128" s="440"/>
      <c r="E128" s="816"/>
    </row>
    <row r="129" spans="1:5" ht="15" thickBot="1" x14ac:dyDescent="0.4">
      <c r="A129" s="421">
        <v>89999</v>
      </c>
      <c r="B129" s="610" t="s">
        <v>410</v>
      </c>
      <c r="C129" s="460">
        <f>C124+C127</f>
        <v>0</v>
      </c>
      <c r="D129" s="461">
        <f>D124+D127</f>
        <v>0</v>
      </c>
      <c r="E129" s="423">
        <f>E124+E127</f>
        <v>0</v>
      </c>
    </row>
    <row r="130" spans="1:5" x14ac:dyDescent="0.35">
      <c r="C130" s="808"/>
      <c r="D130" s="809"/>
      <c r="E130" s="810"/>
    </row>
    <row r="131" spans="1:5" x14ac:dyDescent="0.35">
      <c r="A131" s="411" t="s">
        <v>411</v>
      </c>
      <c r="B131" s="412" t="s">
        <v>412</v>
      </c>
      <c r="C131" s="811">
        <v>0</v>
      </c>
      <c r="D131" s="812">
        <v>0</v>
      </c>
      <c r="E131" s="813">
        <f>C131+D131</f>
        <v>0</v>
      </c>
    </row>
    <row r="132" spans="1:5" ht="15" thickBot="1" x14ac:dyDescent="0.4">
      <c r="A132" s="458"/>
      <c r="B132" s="412"/>
      <c r="C132" s="814"/>
      <c r="D132" s="815"/>
      <c r="E132" s="816"/>
    </row>
    <row r="133" spans="1:5" ht="15" thickBot="1" x14ac:dyDescent="0.4">
      <c r="A133" s="421">
        <v>99999</v>
      </c>
      <c r="B133" s="610" t="s">
        <v>413</v>
      </c>
      <c r="C133" s="460">
        <f>C129-C131</f>
        <v>0</v>
      </c>
      <c r="D133" s="461">
        <f t="shared" ref="D133:E133" si="6">D129-D131</f>
        <v>0</v>
      </c>
      <c r="E133" s="423">
        <f t="shared" si="6"/>
        <v>0</v>
      </c>
    </row>
    <row r="134" spans="1:5" x14ac:dyDescent="0.35">
      <c r="A134" s="458"/>
      <c r="B134" s="450"/>
      <c r="C134" s="825"/>
      <c r="D134" s="440"/>
      <c r="E134" s="813"/>
    </row>
    <row r="135" spans="1:5" x14ac:dyDescent="0.35">
      <c r="A135" s="411" t="s">
        <v>414</v>
      </c>
      <c r="B135" s="450" t="s">
        <v>415</v>
      </c>
      <c r="C135" s="811">
        <v>0</v>
      </c>
      <c r="D135" s="414">
        <v>0</v>
      </c>
      <c r="E135" s="813">
        <f>C135+D135</f>
        <v>0</v>
      </c>
    </row>
    <row r="136" spans="1:5" x14ac:dyDescent="0.35">
      <c r="A136" s="411" t="s">
        <v>416</v>
      </c>
      <c r="B136" s="538" t="s">
        <v>417</v>
      </c>
      <c r="C136" s="811">
        <v>0</v>
      </c>
      <c r="D136" s="414">
        <v>0</v>
      </c>
      <c r="E136" s="813">
        <f>C136+D136</f>
        <v>0</v>
      </c>
    </row>
    <row r="137" spans="1:5" x14ac:dyDescent="0.35">
      <c r="A137" s="411" t="s">
        <v>418</v>
      </c>
      <c r="B137" s="538" t="s">
        <v>419</v>
      </c>
      <c r="C137" s="811">
        <v>0</v>
      </c>
      <c r="D137" s="414">
        <v>0</v>
      </c>
      <c r="E137" s="813">
        <f>C137+D137</f>
        <v>0</v>
      </c>
    </row>
    <row r="138" spans="1:5" x14ac:dyDescent="0.35">
      <c r="A138" s="411" t="s">
        <v>420</v>
      </c>
      <c r="B138" s="538" t="s">
        <v>421</v>
      </c>
      <c r="C138" s="811">
        <v>0</v>
      </c>
      <c r="D138" s="414">
        <v>0</v>
      </c>
      <c r="E138" s="813">
        <f>C138+D138</f>
        <v>0</v>
      </c>
    </row>
    <row r="139" spans="1:5" ht="15" thickBot="1" x14ac:dyDescent="0.4">
      <c r="A139" s="458"/>
      <c r="B139" s="450"/>
      <c r="C139" s="825"/>
      <c r="D139" s="440"/>
      <c r="E139" s="813"/>
    </row>
    <row r="140" spans="1:5" ht="15" thickBot="1" x14ac:dyDescent="0.4">
      <c r="A140" s="421">
        <v>999999</v>
      </c>
      <c r="B140" s="610" t="s">
        <v>422</v>
      </c>
      <c r="C140" s="460">
        <f>C133-C135-C136-C137-C138</f>
        <v>0</v>
      </c>
      <c r="D140" s="461">
        <f>D133-D135-D136-D137-D138</f>
        <v>0</v>
      </c>
      <c r="E140" s="423">
        <f>E133-E135-E136-E137-E138</f>
        <v>0</v>
      </c>
    </row>
  </sheetData>
  <printOptions gridLinesSet="0"/>
  <pageMargins left="0.22" right="0.17" top="0.3" bottom="1" header="0.17" footer="0.5"/>
  <pageSetup scale="40" orientation="portrait" r:id="rId1"/>
  <headerFooter alignWithMargins="0">
    <oddFooter>&amp;L&amp;Z&amp;F&amp;A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84545-3294-48A9-B29C-CEDF81CAA573}">
  <sheetPr syncVertical="1" syncRef="A9" transitionEvaluation="1">
    <pageSetUpPr fitToPage="1"/>
  </sheetPr>
  <dimension ref="A1:E140"/>
  <sheetViews>
    <sheetView showGridLines="0" zoomScaleNormal="100" zoomScaleSheetLayoutView="75" workbookViewId="0">
      <pane ySplit="8" topLeftCell="A9" activePane="bottomLeft" state="frozen"/>
      <selection activeCell="E57" sqref="E57"/>
      <selection pane="bottomLeft" activeCell="J25" sqref="J25"/>
    </sheetView>
  </sheetViews>
  <sheetFormatPr defaultColWidth="12.54296875" defaultRowHeight="14.5" x14ac:dyDescent="0.35"/>
  <cols>
    <col min="1" max="1" width="20.54296875" style="778" customWidth="1"/>
    <col min="2" max="2" width="57.54296875" style="778" customWidth="1"/>
    <col min="3" max="5" width="20.54296875" style="780" customWidth="1"/>
    <col min="6" max="16384" width="12.54296875" style="778"/>
  </cols>
  <sheetData>
    <row r="1" spans="1:5" x14ac:dyDescent="0.35">
      <c r="A1" s="1561" t="s">
        <v>753</v>
      </c>
      <c r="B1" s="1562"/>
      <c r="C1" s="1563"/>
      <c r="D1" s="1563"/>
      <c r="E1" s="1563"/>
    </row>
    <row r="2" spans="1:5" ht="17.25" customHeight="1" x14ac:dyDescent="0.35">
      <c r="A2" s="1564" t="s">
        <v>760</v>
      </c>
      <c r="B2" s="1565"/>
      <c r="C2" s="1563"/>
      <c r="D2" s="1562"/>
      <c r="E2" s="1566"/>
    </row>
    <row r="3" spans="1:5" x14ac:dyDescent="0.35">
      <c r="A3" s="779"/>
      <c r="E3" s="781"/>
    </row>
    <row r="4" spans="1:5" x14ac:dyDescent="0.35">
      <c r="A4" s="23" t="s">
        <v>761</v>
      </c>
      <c r="E4" s="781"/>
    </row>
    <row r="5" spans="1:5" s="400" customFormat="1" x14ac:dyDescent="0.35">
      <c r="A5" s="597" t="s">
        <v>45</v>
      </c>
      <c r="B5" s="23" t="str">
        <f>'FS-Balance Sheet 3.04'!B4</f>
        <v>Select Contractor Name</v>
      </c>
    </row>
    <row r="6" spans="1:5" s="400" customFormat="1" x14ac:dyDescent="0.35">
      <c r="A6" s="597" t="s">
        <v>708</v>
      </c>
      <c r="B6" s="40" t="str">
        <f>'FS-Balance Sheet 3.04'!B5</f>
        <v>mm/dd/yyyy</v>
      </c>
    </row>
    <row r="7" spans="1:5" s="400" customFormat="1" ht="15" thickBot="1" x14ac:dyDescent="0.4">
      <c r="B7" s="524"/>
      <c r="C7" s="782"/>
      <c r="D7" s="782"/>
      <c r="E7" s="782"/>
    </row>
    <row r="8" spans="1:5" s="783" customFormat="1" ht="42" customHeight="1" thickBot="1" x14ac:dyDescent="0.3">
      <c r="A8" s="1547" t="s">
        <v>188</v>
      </c>
      <c r="B8" s="1548" t="s">
        <v>189</v>
      </c>
      <c r="C8" s="1549" t="s">
        <v>190</v>
      </c>
      <c r="D8" s="1550" t="s">
        <v>191</v>
      </c>
      <c r="E8" s="1957" t="s">
        <v>192</v>
      </c>
    </row>
    <row r="9" spans="1:5" s="783" customFormat="1" x14ac:dyDescent="0.35">
      <c r="A9" s="784" t="s">
        <v>193</v>
      </c>
      <c r="B9" s="785" t="s">
        <v>194</v>
      </c>
      <c r="C9" s="786">
        <v>0</v>
      </c>
      <c r="D9" s="787">
        <v>0</v>
      </c>
      <c r="E9" s="788">
        <f>C9+D9</f>
        <v>0</v>
      </c>
    </row>
    <row r="10" spans="1:5" s="783" customFormat="1" x14ac:dyDescent="0.35">
      <c r="A10" s="789" t="s">
        <v>195</v>
      </c>
      <c r="B10" s="790" t="s">
        <v>196</v>
      </c>
      <c r="C10" s="786">
        <v>0</v>
      </c>
      <c r="D10" s="787">
        <v>0</v>
      </c>
      <c r="E10" s="788">
        <f>+C10+D10</f>
        <v>0</v>
      </c>
    </row>
    <row r="11" spans="1:5" s="783" customFormat="1" x14ac:dyDescent="0.35">
      <c r="A11" s="789" t="s">
        <v>197</v>
      </c>
      <c r="B11" s="791" t="s">
        <v>198</v>
      </c>
      <c r="C11" s="786">
        <v>0</v>
      </c>
      <c r="D11" s="787">
        <v>0</v>
      </c>
      <c r="E11" s="788">
        <f>+C11+D11</f>
        <v>0</v>
      </c>
    </row>
    <row r="12" spans="1:5" x14ac:dyDescent="0.35">
      <c r="A12" s="399" t="s">
        <v>199</v>
      </c>
      <c r="B12" s="538"/>
      <c r="C12" s="792"/>
      <c r="D12" s="793"/>
      <c r="E12" s="788"/>
    </row>
    <row r="13" spans="1:5" x14ac:dyDescent="0.35">
      <c r="A13" s="411" t="s">
        <v>200</v>
      </c>
      <c r="B13" s="450" t="s">
        <v>201</v>
      </c>
      <c r="C13" s="794">
        <v>0</v>
      </c>
      <c r="D13" s="795">
        <v>0</v>
      </c>
      <c r="E13" s="788">
        <f t="shared" ref="E13:E19" si="0">C13+D13</f>
        <v>0</v>
      </c>
    </row>
    <row r="14" spans="1:5" x14ac:dyDescent="0.35">
      <c r="A14" s="411" t="s">
        <v>202</v>
      </c>
      <c r="B14" s="450" t="s">
        <v>203</v>
      </c>
      <c r="C14" s="794">
        <v>0</v>
      </c>
      <c r="D14" s="795">
        <v>0</v>
      </c>
      <c r="E14" s="788">
        <f t="shared" si="0"/>
        <v>0</v>
      </c>
    </row>
    <row r="15" spans="1:5" x14ac:dyDescent="0.35">
      <c r="A15" s="411" t="s">
        <v>204</v>
      </c>
      <c r="B15" s="450" t="s">
        <v>205</v>
      </c>
      <c r="C15" s="794">
        <v>0</v>
      </c>
      <c r="D15" s="795">
        <v>0</v>
      </c>
      <c r="E15" s="788">
        <f t="shared" si="0"/>
        <v>0</v>
      </c>
    </row>
    <row r="16" spans="1:5" x14ac:dyDescent="0.35">
      <c r="A16" s="411" t="s">
        <v>206</v>
      </c>
      <c r="B16" s="450" t="s">
        <v>207</v>
      </c>
      <c r="C16" s="794">
        <v>0</v>
      </c>
      <c r="D16" s="795">
        <v>0</v>
      </c>
      <c r="E16" s="788">
        <f t="shared" si="0"/>
        <v>0</v>
      </c>
    </row>
    <row r="17" spans="1:5" x14ac:dyDescent="0.35">
      <c r="A17" s="411" t="s">
        <v>208</v>
      </c>
      <c r="B17" s="450" t="s">
        <v>209</v>
      </c>
      <c r="C17" s="794">
        <v>0</v>
      </c>
      <c r="D17" s="795">
        <v>0</v>
      </c>
      <c r="E17" s="788">
        <f t="shared" si="0"/>
        <v>0</v>
      </c>
    </row>
    <row r="18" spans="1:5" x14ac:dyDescent="0.35">
      <c r="A18" s="411" t="s">
        <v>210</v>
      </c>
      <c r="B18" s="450" t="s">
        <v>211</v>
      </c>
      <c r="C18" s="794">
        <v>0</v>
      </c>
      <c r="D18" s="795">
        <v>0</v>
      </c>
      <c r="E18" s="788">
        <f t="shared" si="0"/>
        <v>0</v>
      </c>
    </row>
    <row r="19" spans="1:5" ht="15" thickBot="1" x14ac:dyDescent="0.4">
      <c r="A19" s="606" t="s">
        <v>212</v>
      </c>
      <c r="B19" s="607" t="s">
        <v>213</v>
      </c>
      <c r="C19" s="796">
        <v>0</v>
      </c>
      <c r="D19" s="795">
        <v>0</v>
      </c>
      <c r="E19" s="788">
        <f t="shared" si="0"/>
        <v>0</v>
      </c>
    </row>
    <row r="20" spans="1:5" ht="15" thickBot="1" x14ac:dyDescent="0.4">
      <c r="A20" s="421">
        <v>40199</v>
      </c>
      <c r="B20" s="610" t="s">
        <v>214</v>
      </c>
      <c r="C20" s="797">
        <f>SUM(C13:C19)</f>
        <v>0</v>
      </c>
      <c r="D20" s="798">
        <f>SUM(D13:D19)</f>
        <v>0</v>
      </c>
      <c r="E20" s="456">
        <f>SUM(E13:E19)</f>
        <v>0</v>
      </c>
    </row>
    <row r="21" spans="1:5" x14ac:dyDescent="0.35">
      <c r="A21" s="411" t="s">
        <v>215</v>
      </c>
      <c r="B21" s="450" t="s">
        <v>216</v>
      </c>
      <c r="C21" s="799">
        <v>0</v>
      </c>
      <c r="D21" s="795">
        <v>0</v>
      </c>
      <c r="E21" s="788">
        <f>C21+D21</f>
        <v>0</v>
      </c>
    </row>
    <row r="22" spans="1:5" x14ac:dyDescent="0.35">
      <c r="A22" s="411" t="s">
        <v>217</v>
      </c>
      <c r="B22" s="615" t="s">
        <v>218</v>
      </c>
      <c r="C22" s="800">
        <v>0</v>
      </c>
      <c r="D22" s="795">
        <v>0</v>
      </c>
      <c r="E22" s="788">
        <f>C22+D22</f>
        <v>0</v>
      </c>
    </row>
    <row r="23" spans="1:5" ht="15" thickBot="1" x14ac:dyDescent="0.4">
      <c r="A23" s="411" t="s">
        <v>219</v>
      </c>
      <c r="B23" s="450" t="s">
        <v>220</v>
      </c>
      <c r="C23" s="800">
        <v>0</v>
      </c>
      <c r="D23" s="795">
        <v>0</v>
      </c>
      <c r="E23" s="788">
        <f>C23+D23</f>
        <v>0</v>
      </c>
    </row>
    <row r="24" spans="1:5" ht="15" thickBot="1" x14ac:dyDescent="0.4">
      <c r="A24" s="421">
        <v>49999</v>
      </c>
      <c r="B24" s="610" t="s">
        <v>221</v>
      </c>
      <c r="C24" s="797">
        <f>C20+C21+C22+C23</f>
        <v>0</v>
      </c>
      <c r="D24" s="798">
        <f>D20+D21+D22+D23</f>
        <v>0</v>
      </c>
      <c r="E24" s="456">
        <f>E20+E21+E22+E23</f>
        <v>0</v>
      </c>
    </row>
    <row r="25" spans="1:5" x14ac:dyDescent="0.35">
      <c r="A25" s="399" t="s">
        <v>222</v>
      </c>
      <c r="B25" s="538"/>
      <c r="C25" s="801"/>
      <c r="D25" s="793"/>
      <c r="E25" s="788"/>
    </row>
    <row r="26" spans="1:5" x14ac:dyDescent="0.35">
      <c r="A26" s="444" t="s">
        <v>223</v>
      </c>
      <c r="B26" s="450" t="s">
        <v>224</v>
      </c>
      <c r="C26" s="800">
        <v>0</v>
      </c>
      <c r="D26" s="795">
        <v>0</v>
      </c>
      <c r="E26" s="788">
        <f t="shared" ref="E26:E31" si="1">C26+D26</f>
        <v>0</v>
      </c>
    </row>
    <row r="27" spans="1:5" x14ac:dyDescent="0.35">
      <c r="A27" s="445" t="s">
        <v>225</v>
      </c>
      <c r="B27" s="450" t="s">
        <v>226</v>
      </c>
      <c r="C27" s="800">
        <v>0</v>
      </c>
      <c r="D27" s="795">
        <v>0</v>
      </c>
      <c r="E27" s="788">
        <f t="shared" si="1"/>
        <v>0</v>
      </c>
    </row>
    <row r="28" spans="1:5" x14ac:dyDescent="0.35">
      <c r="A28" s="445" t="s">
        <v>227</v>
      </c>
      <c r="B28" s="450" t="s">
        <v>228</v>
      </c>
      <c r="C28" s="800">
        <v>0</v>
      </c>
      <c r="D28" s="795">
        <v>0</v>
      </c>
      <c r="E28" s="788">
        <f t="shared" si="1"/>
        <v>0</v>
      </c>
    </row>
    <row r="29" spans="1:5" x14ac:dyDescent="0.35">
      <c r="A29" s="411" t="s">
        <v>229</v>
      </c>
      <c r="B29" s="450" t="s">
        <v>230</v>
      </c>
      <c r="C29" s="800">
        <v>0</v>
      </c>
      <c r="D29" s="795">
        <v>0</v>
      </c>
      <c r="E29" s="788">
        <f t="shared" si="1"/>
        <v>0</v>
      </c>
    </row>
    <row r="30" spans="1:5" x14ac:dyDescent="0.35">
      <c r="A30" s="411" t="s">
        <v>231</v>
      </c>
      <c r="B30" s="450" t="s">
        <v>232</v>
      </c>
      <c r="C30" s="800">
        <v>0</v>
      </c>
      <c r="D30" s="795">
        <v>0</v>
      </c>
      <c r="E30" s="788">
        <f t="shared" si="1"/>
        <v>0</v>
      </c>
    </row>
    <row r="31" spans="1:5" ht="15" thickBot="1" x14ac:dyDescent="0.4">
      <c r="A31" s="411" t="s">
        <v>233</v>
      </c>
      <c r="B31" s="450" t="s">
        <v>234</v>
      </c>
      <c r="C31" s="802">
        <v>0</v>
      </c>
      <c r="D31" s="795">
        <v>0</v>
      </c>
      <c r="E31" s="788">
        <f t="shared" si="1"/>
        <v>0</v>
      </c>
    </row>
    <row r="32" spans="1:5" ht="15" thickBot="1" x14ac:dyDescent="0.4">
      <c r="A32" s="421" t="s">
        <v>235</v>
      </c>
      <c r="B32" s="610" t="s">
        <v>236</v>
      </c>
      <c r="C32" s="797">
        <f>SUM(C26:C31)</f>
        <v>0</v>
      </c>
      <c r="D32" s="798">
        <f>SUM(D26:D31)</f>
        <v>0</v>
      </c>
      <c r="E32" s="456">
        <f>SUM(E26:E31)</f>
        <v>0</v>
      </c>
    </row>
    <row r="33" spans="1:5" x14ac:dyDescent="0.35">
      <c r="A33" s="399" t="s">
        <v>237</v>
      </c>
      <c r="B33" s="538"/>
      <c r="C33" s="801"/>
      <c r="D33" s="793"/>
      <c r="E33" s="788"/>
    </row>
    <row r="34" spans="1:5" x14ac:dyDescent="0.35">
      <c r="A34" s="411" t="s">
        <v>238</v>
      </c>
      <c r="B34" s="450" t="s">
        <v>239</v>
      </c>
      <c r="C34" s="800">
        <v>0</v>
      </c>
      <c r="D34" s="795">
        <v>0</v>
      </c>
      <c r="E34" s="788">
        <f t="shared" ref="E34:E48" si="2">C34+D34</f>
        <v>0</v>
      </c>
    </row>
    <row r="35" spans="1:5" x14ac:dyDescent="0.35">
      <c r="A35" s="411" t="s">
        <v>240</v>
      </c>
      <c r="B35" s="450" t="s">
        <v>241</v>
      </c>
      <c r="C35" s="800">
        <v>0</v>
      </c>
      <c r="D35" s="795">
        <v>0</v>
      </c>
      <c r="E35" s="788">
        <f t="shared" si="2"/>
        <v>0</v>
      </c>
    </row>
    <row r="36" spans="1:5" x14ac:dyDescent="0.35">
      <c r="A36" s="411" t="s">
        <v>242</v>
      </c>
      <c r="B36" s="450" t="s">
        <v>243</v>
      </c>
      <c r="C36" s="800">
        <v>0</v>
      </c>
      <c r="D36" s="795">
        <v>0</v>
      </c>
      <c r="E36" s="788">
        <f t="shared" si="2"/>
        <v>0</v>
      </c>
    </row>
    <row r="37" spans="1:5" x14ac:dyDescent="0.35">
      <c r="A37" s="411" t="s">
        <v>244</v>
      </c>
      <c r="B37" s="450" t="s">
        <v>245</v>
      </c>
      <c r="C37" s="800">
        <v>0</v>
      </c>
      <c r="D37" s="795">
        <v>0</v>
      </c>
      <c r="E37" s="788">
        <f t="shared" si="2"/>
        <v>0</v>
      </c>
    </row>
    <row r="38" spans="1:5" x14ac:dyDescent="0.35">
      <c r="A38" s="411" t="s">
        <v>246</v>
      </c>
      <c r="B38" s="450" t="s">
        <v>247</v>
      </c>
      <c r="C38" s="800">
        <v>0</v>
      </c>
      <c r="D38" s="795">
        <v>0</v>
      </c>
      <c r="E38" s="788">
        <f t="shared" si="2"/>
        <v>0</v>
      </c>
    </row>
    <row r="39" spans="1:5" x14ac:dyDescent="0.35">
      <c r="A39" s="411" t="s">
        <v>248</v>
      </c>
      <c r="B39" s="450" t="s">
        <v>249</v>
      </c>
      <c r="C39" s="800">
        <v>0</v>
      </c>
      <c r="D39" s="795">
        <v>0</v>
      </c>
      <c r="E39" s="788">
        <f t="shared" si="2"/>
        <v>0</v>
      </c>
    </row>
    <row r="40" spans="1:5" x14ac:dyDescent="0.35">
      <c r="A40" s="411" t="s">
        <v>250</v>
      </c>
      <c r="B40" s="450" t="s">
        <v>251</v>
      </c>
      <c r="C40" s="800">
        <v>0</v>
      </c>
      <c r="D40" s="795">
        <v>0</v>
      </c>
      <c r="E40" s="788">
        <f t="shared" si="2"/>
        <v>0</v>
      </c>
    </row>
    <row r="41" spans="1:5" x14ac:dyDescent="0.35">
      <c r="A41" s="411" t="s">
        <v>252</v>
      </c>
      <c r="B41" s="450" t="s">
        <v>253</v>
      </c>
      <c r="C41" s="800">
        <v>0</v>
      </c>
      <c r="D41" s="795">
        <v>0</v>
      </c>
      <c r="E41" s="788">
        <f t="shared" si="2"/>
        <v>0</v>
      </c>
    </row>
    <row r="42" spans="1:5" x14ac:dyDescent="0.35">
      <c r="A42" s="411" t="s">
        <v>254</v>
      </c>
      <c r="B42" s="450" t="s">
        <v>255</v>
      </c>
      <c r="C42" s="800">
        <v>0</v>
      </c>
      <c r="D42" s="795">
        <v>0</v>
      </c>
      <c r="E42" s="788">
        <f t="shared" si="2"/>
        <v>0</v>
      </c>
    </row>
    <row r="43" spans="1:5" x14ac:dyDescent="0.35">
      <c r="A43" s="411" t="s">
        <v>256</v>
      </c>
      <c r="B43" s="450" t="s">
        <v>257</v>
      </c>
      <c r="C43" s="800">
        <v>0</v>
      </c>
      <c r="D43" s="795">
        <v>0</v>
      </c>
      <c r="E43" s="788">
        <f t="shared" si="2"/>
        <v>0</v>
      </c>
    </row>
    <row r="44" spans="1:5" x14ac:dyDescent="0.35">
      <c r="A44" s="411" t="s">
        <v>258</v>
      </c>
      <c r="B44" s="450" t="s">
        <v>259</v>
      </c>
      <c r="C44" s="800">
        <v>0</v>
      </c>
      <c r="D44" s="795">
        <v>0</v>
      </c>
      <c r="E44" s="788">
        <f t="shared" si="2"/>
        <v>0</v>
      </c>
    </row>
    <row r="45" spans="1:5" x14ac:dyDescent="0.35">
      <c r="A45" s="411" t="s">
        <v>260</v>
      </c>
      <c r="B45" s="450" t="s">
        <v>261</v>
      </c>
      <c r="C45" s="800">
        <v>0</v>
      </c>
      <c r="D45" s="795">
        <v>0</v>
      </c>
      <c r="E45" s="788">
        <f t="shared" si="2"/>
        <v>0</v>
      </c>
    </row>
    <row r="46" spans="1:5" x14ac:dyDescent="0.35">
      <c r="A46" s="411" t="s">
        <v>262</v>
      </c>
      <c r="B46" s="450" t="s">
        <v>263</v>
      </c>
      <c r="C46" s="800">
        <v>0</v>
      </c>
      <c r="D46" s="795">
        <v>0</v>
      </c>
      <c r="E46" s="788">
        <f t="shared" si="2"/>
        <v>0</v>
      </c>
    </row>
    <row r="47" spans="1:5" x14ac:dyDescent="0.35">
      <c r="A47" s="411" t="s">
        <v>264</v>
      </c>
      <c r="B47" s="450" t="s">
        <v>265</v>
      </c>
      <c r="C47" s="800">
        <v>0</v>
      </c>
      <c r="D47" s="795">
        <v>0</v>
      </c>
      <c r="E47" s="788">
        <f t="shared" si="2"/>
        <v>0</v>
      </c>
    </row>
    <row r="48" spans="1:5" ht="15" thickBot="1" x14ac:dyDescent="0.4">
      <c r="A48" s="411" t="s">
        <v>266</v>
      </c>
      <c r="B48" s="450" t="s">
        <v>267</v>
      </c>
      <c r="C48" s="802">
        <v>0</v>
      </c>
      <c r="D48" s="795">
        <v>0</v>
      </c>
      <c r="E48" s="788">
        <f t="shared" si="2"/>
        <v>0</v>
      </c>
    </row>
    <row r="49" spans="1:5" ht="15" thickBot="1" x14ac:dyDescent="0.4">
      <c r="A49" s="421" t="s">
        <v>268</v>
      </c>
      <c r="B49" s="610" t="s">
        <v>269</v>
      </c>
      <c r="C49" s="797">
        <f>SUM(C34:C48)</f>
        <v>0</v>
      </c>
      <c r="D49" s="798">
        <f>SUM(D34:D48)</f>
        <v>0</v>
      </c>
      <c r="E49" s="456">
        <f>SUM(E34:E48)</f>
        <v>0</v>
      </c>
    </row>
    <row r="50" spans="1:5" x14ac:dyDescent="0.35">
      <c r="A50" s="399" t="s">
        <v>270</v>
      </c>
      <c r="B50" s="538"/>
      <c r="C50" s="801"/>
      <c r="D50" s="793"/>
      <c r="E50" s="788"/>
    </row>
    <row r="51" spans="1:5" x14ac:dyDescent="0.35">
      <c r="A51" s="411" t="s">
        <v>271</v>
      </c>
      <c r="B51" s="450" t="s">
        <v>272</v>
      </c>
      <c r="C51" s="800">
        <v>0</v>
      </c>
      <c r="D51" s="795">
        <v>0</v>
      </c>
      <c r="E51" s="788">
        <f t="shared" ref="E51:E65" si="3">C51+D51</f>
        <v>0</v>
      </c>
    </row>
    <row r="52" spans="1:5" x14ac:dyDescent="0.35">
      <c r="A52" s="411" t="s">
        <v>273</v>
      </c>
      <c r="B52" s="450" t="s">
        <v>274</v>
      </c>
      <c r="C52" s="800">
        <v>0</v>
      </c>
      <c r="D52" s="795">
        <v>0</v>
      </c>
      <c r="E52" s="788">
        <f t="shared" si="3"/>
        <v>0</v>
      </c>
    </row>
    <row r="53" spans="1:5" x14ac:dyDescent="0.35">
      <c r="A53" s="411" t="s">
        <v>275</v>
      </c>
      <c r="B53" s="450" t="s">
        <v>276</v>
      </c>
      <c r="C53" s="800">
        <v>0</v>
      </c>
      <c r="D53" s="795">
        <v>0</v>
      </c>
      <c r="E53" s="788">
        <f t="shared" si="3"/>
        <v>0</v>
      </c>
    </row>
    <row r="54" spans="1:5" x14ac:dyDescent="0.35">
      <c r="A54" s="411" t="s">
        <v>277</v>
      </c>
      <c r="B54" s="450" t="s">
        <v>278</v>
      </c>
      <c r="C54" s="800">
        <v>0</v>
      </c>
      <c r="D54" s="795">
        <v>0</v>
      </c>
      <c r="E54" s="788">
        <f t="shared" si="3"/>
        <v>0</v>
      </c>
    </row>
    <row r="55" spans="1:5" x14ac:dyDescent="0.35">
      <c r="A55" s="411" t="s">
        <v>279</v>
      </c>
      <c r="B55" s="450" t="s">
        <v>280</v>
      </c>
      <c r="C55" s="800">
        <v>0</v>
      </c>
      <c r="D55" s="795">
        <v>0</v>
      </c>
      <c r="E55" s="788">
        <f t="shared" si="3"/>
        <v>0</v>
      </c>
    </row>
    <row r="56" spans="1:5" x14ac:dyDescent="0.35">
      <c r="A56" s="411" t="s">
        <v>281</v>
      </c>
      <c r="B56" s="450" t="s">
        <v>282</v>
      </c>
      <c r="C56" s="800">
        <v>0</v>
      </c>
      <c r="D56" s="795">
        <v>0</v>
      </c>
      <c r="E56" s="788">
        <f t="shared" si="3"/>
        <v>0</v>
      </c>
    </row>
    <row r="57" spans="1:5" x14ac:dyDescent="0.35">
      <c r="A57" s="411" t="s">
        <v>283</v>
      </c>
      <c r="B57" s="450" t="s">
        <v>284</v>
      </c>
      <c r="C57" s="800">
        <v>0</v>
      </c>
      <c r="D57" s="795">
        <v>0</v>
      </c>
      <c r="E57" s="788">
        <f t="shared" si="3"/>
        <v>0</v>
      </c>
    </row>
    <row r="58" spans="1:5" x14ac:dyDescent="0.35">
      <c r="A58" s="411" t="s">
        <v>285</v>
      </c>
      <c r="B58" s="450" t="s">
        <v>286</v>
      </c>
      <c r="C58" s="800">
        <v>0</v>
      </c>
      <c r="D58" s="795">
        <v>0</v>
      </c>
      <c r="E58" s="788">
        <f t="shared" si="3"/>
        <v>0</v>
      </c>
    </row>
    <row r="59" spans="1:5" x14ac:dyDescent="0.35">
      <c r="A59" s="411" t="s">
        <v>287</v>
      </c>
      <c r="B59" s="622" t="s">
        <v>288</v>
      </c>
      <c r="C59" s="800">
        <v>0</v>
      </c>
      <c r="D59" s="795">
        <v>0</v>
      </c>
      <c r="E59" s="788">
        <f t="shared" si="3"/>
        <v>0</v>
      </c>
    </row>
    <row r="60" spans="1:5" x14ac:dyDescent="0.35">
      <c r="A60" s="411" t="s">
        <v>289</v>
      </c>
      <c r="B60" s="450" t="s">
        <v>290</v>
      </c>
      <c r="C60" s="800">
        <v>0</v>
      </c>
      <c r="D60" s="795">
        <v>0</v>
      </c>
      <c r="E60" s="788">
        <f t="shared" si="3"/>
        <v>0</v>
      </c>
    </row>
    <row r="61" spans="1:5" x14ac:dyDescent="0.35">
      <c r="A61" s="411" t="s">
        <v>291</v>
      </c>
      <c r="B61" s="450" t="s">
        <v>292</v>
      </c>
      <c r="C61" s="800">
        <v>0</v>
      </c>
      <c r="D61" s="795">
        <v>0</v>
      </c>
      <c r="E61" s="788">
        <f t="shared" si="3"/>
        <v>0</v>
      </c>
    </row>
    <row r="62" spans="1:5" x14ac:dyDescent="0.35">
      <c r="A62" s="411" t="s">
        <v>293</v>
      </c>
      <c r="B62" s="450" t="s">
        <v>294</v>
      </c>
      <c r="C62" s="800">
        <v>0</v>
      </c>
      <c r="D62" s="795">
        <v>0</v>
      </c>
      <c r="E62" s="788">
        <f t="shared" si="3"/>
        <v>0</v>
      </c>
    </row>
    <row r="63" spans="1:5" x14ac:dyDescent="0.35">
      <c r="A63" s="411" t="s">
        <v>295</v>
      </c>
      <c r="B63" s="450" t="s">
        <v>296</v>
      </c>
      <c r="C63" s="800">
        <v>0</v>
      </c>
      <c r="D63" s="795">
        <v>0</v>
      </c>
      <c r="E63" s="788">
        <f t="shared" si="3"/>
        <v>0</v>
      </c>
    </row>
    <row r="64" spans="1:5" x14ac:dyDescent="0.35">
      <c r="A64" s="411" t="s">
        <v>297</v>
      </c>
      <c r="B64" s="450" t="s">
        <v>298</v>
      </c>
      <c r="C64" s="800">
        <v>0</v>
      </c>
      <c r="D64" s="795">
        <v>0</v>
      </c>
      <c r="E64" s="788">
        <f t="shared" si="3"/>
        <v>0</v>
      </c>
    </row>
    <row r="65" spans="1:5" ht="15" thickBot="1" x14ac:dyDescent="0.4">
      <c r="A65" s="411" t="s">
        <v>299</v>
      </c>
      <c r="B65" s="450" t="s">
        <v>300</v>
      </c>
      <c r="C65" s="802">
        <v>0</v>
      </c>
      <c r="D65" s="795">
        <v>0</v>
      </c>
      <c r="E65" s="788">
        <f t="shared" si="3"/>
        <v>0</v>
      </c>
    </row>
    <row r="66" spans="1:5" ht="15" thickBot="1" x14ac:dyDescent="0.4">
      <c r="A66" s="421">
        <v>50389</v>
      </c>
      <c r="B66" s="610" t="s">
        <v>301</v>
      </c>
      <c r="C66" s="797">
        <f>SUM(C51:C65)</f>
        <v>0</v>
      </c>
      <c r="D66" s="798">
        <f>SUM(D51:D65)</f>
        <v>0</v>
      </c>
      <c r="E66" s="456">
        <f>SUM(E51:E65)</f>
        <v>0</v>
      </c>
    </row>
    <row r="67" spans="1:5" x14ac:dyDescent="0.35">
      <c r="A67" s="399" t="s">
        <v>302</v>
      </c>
      <c r="B67" s="538"/>
      <c r="C67" s="801"/>
      <c r="D67" s="793"/>
      <c r="E67" s="788"/>
    </row>
    <row r="68" spans="1:5" x14ac:dyDescent="0.35">
      <c r="A68" s="411" t="s">
        <v>303</v>
      </c>
      <c r="B68" s="450" t="s">
        <v>304</v>
      </c>
      <c r="C68" s="800">
        <v>0</v>
      </c>
      <c r="D68" s="795">
        <v>0</v>
      </c>
      <c r="E68" s="788">
        <f t="shared" ref="E68:E87" si="4">C68+D68</f>
        <v>0</v>
      </c>
    </row>
    <row r="69" spans="1:5" x14ac:dyDescent="0.35">
      <c r="A69" s="411" t="s">
        <v>305</v>
      </c>
      <c r="B69" s="450" t="s">
        <v>306</v>
      </c>
      <c r="C69" s="800">
        <v>0</v>
      </c>
      <c r="D69" s="795">
        <v>0</v>
      </c>
      <c r="E69" s="788">
        <f t="shared" si="4"/>
        <v>0</v>
      </c>
    </row>
    <row r="70" spans="1:5" x14ac:dyDescent="0.35">
      <c r="A70" s="411" t="s">
        <v>307</v>
      </c>
      <c r="B70" s="450" t="s">
        <v>308</v>
      </c>
      <c r="C70" s="800">
        <v>0</v>
      </c>
      <c r="D70" s="795">
        <v>0</v>
      </c>
      <c r="E70" s="788">
        <f t="shared" si="4"/>
        <v>0</v>
      </c>
    </row>
    <row r="71" spans="1:5" x14ac:dyDescent="0.35">
      <c r="A71" s="411" t="s">
        <v>309</v>
      </c>
      <c r="B71" s="450" t="s">
        <v>310</v>
      </c>
      <c r="C71" s="800">
        <v>0</v>
      </c>
      <c r="D71" s="795">
        <v>0</v>
      </c>
      <c r="E71" s="788">
        <f t="shared" si="4"/>
        <v>0</v>
      </c>
    </row>
    <row r="72" spans="1:5" x14ac:dyDescent="0.35">
      <c r="A72" s="411" t="s">
        <v>311</v>
      </c>
      <c r="B72" s="450" t="s">
        <v>312</v>
      </c>
      <c r="C72" s="800">
        <v>0</v>
      </c>
      <c r="D72" s="795">
        <v>0</v>
      </c>
      <c r="E72" s="788">
        <f t="shared" si="4"/>
        <v>0</v>
      </c>
    </row>
    <row r="73" spans="1:5" x14ac:dyDescent="0.35">
      <c r="A73" s="411" t="s">
        <v>313</v>
      </c>
      <c r="B73" s="450" t="s">
        <v>314</v>
      </c>
      <c r="C73" s="800">
        <v>0</v>
      </c>
      <c r="D73" s="795">
        <v>0</v>
      </c>
      <c r="E73" s="788">
        <f t="shared" si="4"/>
        <v>0</v>
      </c>
    </row>
    <row r="74" spans="1:5" x14ac:dyDescent="0.35">
      <c r="A74" s="411" t="s">
        <v>315</v>
      </c>
      <c r="B74" s="450" t="s">
        <v>316</v>
      </c>
      <c r="C74" s="800">
        <v>0</v>
      </c>
      <c r="D74" s="795">
        <v>0</v>
      </c>
      <c r="E74" s="788">
        <f t="shared" si="4"/>
        <v>0</v>
      </c>
    </row>
    <row r="75" spans="1:5" x14ac:dyDescent="0.35">
      <c r="A75" s="411" t="s">
        <v>317</v>
      </c>
      <c r="B75" s="450" t="s">
        <v>318</v>
      </c>
      <c r="C75" s="800">
        <v>0</v>
      </c>
      <c r="D75" s="795">
        <v>0</v>
      </c>
      <c r="E75" s="788">
        <f t="shared" si="4"/>
        <v>0</v>
      </c>
    </row>
    <row r="76" spans="1:5" x14ac:dyDescent="0.35">
      <c r="A76" s="411" t="s">
        <v>319</v>
      </c>
      <c r="B76" s="450" t="s">
        <v>320</v>
      </c>
      <c r="C76" s="800">
        <v>0</v>
      </c>
      <c r="D76" s="795">
        <v>0</v>
      </c>
      <c r="E76" s="788">
        <f t="shared" si="4"/>
        <v>0</v>
      </c>
    </row>
    <row r="77" spans="1:5" x14ac:dyDescent="0.35">
      <c r="A77" s="411" t="s">
        <v>321</v>
      </c>
      <c r="B77" s="450" t="s">
        <v>322</v>
      </c>
      <c r="C77" s="800">
        <v>0</v>
      </c>
      <c r="D77" s="795">
        <v>0</v>
      </c>
      <c r="E77" s="788">
        <f t="shared" si="4"/>
        <v>0</v>
      </c>
    </row>
    <row r="78" spans="1:5" x14ac:dyDescent="0.35">
      <c r="A78" s="411" t="s">
        <v>323</v>
      </c>
      <c r="B78" s="450" t="s">
        <v>324</v>
      </c>
      <c r="C78" s="800">
        <v>0</v>
      </c>
      <c r="D78" s="795">
        <v>0</v>
      </c>
      <c r="E78" s="788">
        <f t="shared" si="4"/>
        <v>0</v>
      </c>
    </row>
    <row r="79" spans="1:5" x14ac:dyDescent="0.35">
      <c r="A79" s="411" t="s">
        <v>325</v>
      </c>
      <c r="B79" s="450" t="s">
        <v>326</v>
      </c>
      <c r="C79" s="800">
        <v>0</v>
      </c>
      <c r="D79" s="795">
        <v>0</v>
      </c>
      <c r="E79" s="788">
        <f t="shared" si="4"/>
        <v>0</v>
      </c>
    </row>
    <row r="80" spans="1:5" x14ac:dyDescent="0.35">
      <c r="A80" s="411" t="s">
        <v>327</v>
      </c>
      <c r="B80" s="450" t="s">
        <v>328</v>
      </c>
      <c r="C80" s="800">
        <v>0</v>
      </c>
      <c r="D80" s="795">
        <v>0</v>
      </c>
      <c r="E80" s="788">
        <f t="shared" si="4"/>
        <v>0</v>
      </c>
    </row>
    <row r="81" spans="1:5" x14ac:dyDescent="0.35">
      <c r="A81" s="411" t="s">
        <v>329</v>
      </c>
      <c r="B81" s="450" t="s">
        <v>330</v>
      </c>
      <c r="C81" s="800">
        <v>0</v>
      </c>
      <c r="D81" s="795">
        <v>0</v>
      </c>
      <c r="E81" s="788">
        <f t="shared" si="4"/>
        <v>0</v>
      </c>
    </row>
    <row r="82" spans="1:5" x14ac:dyDescent="0.35">
      <c r="A82" s="411" t="s">
        <v>331</v>
      </c>
      <c r="B82" s="450" t="s">
        <v>332</v>
      </c>
      <c r="C82" s="800">
        <v>0</v>
      </c>
      <c r="D82" s="795">
        <v>0</v>
      </c>
      <c r="E82" s="788">
        <f t="shared" si="4"/>
        <v>0</v>
      </c>
    </row>
    <row r="83" spans="1:5" x14ac:dyDescent="0.35">
      <c r="A83" s="411" t="s">
        <v>333</v>
      </c>
      <c r="B83" s="450" t="s">
        <v>334</v>
      </c>
      <c r="C83" s="800">
        <v>0</v>
      </c>
      <c r="D83" s="795">
        <v>0</v>
      </c>
      <c r="E83" s="788">
        <f t="shared" si="4"/>
        <v>0</v>
      </c>
    </row>
    <row r="84" spans="1:5" x14ac:dyDescent="0.35">
      <c r="A84" s="411" t="s">
        <v>335</v>
      </c>
      <c r="B84" s="450" t="s">
        <v>336</v>
      </c>
      <c r="C84" s="800">
        <v>0</v>
      </c>
      <c r="D84" s="795">
        <v>0</v>
      </c>
      <c r="E84" s="788">
        <f t="shared" si="4"/>
        <v>0</v>
      </c>
    </row>
    <row r="85" spans="1:5" x14ac:dyDescent="0.35">
      <c r="A85" s="411" t="s">
        <v>337</v>
      </c>
      <c r="B85" s="450" t="s">
        <v>338</v>
      </c>
      <c r="C85" s="800">
        <v>0</v>
      </c>
      <c r="D85" s="795">
        <v>0</v>
      </c>
      <c r="E85" s="788">
        <f t="shared" si="4"/>
        <v>0</v>
      </c>
    </row>
    <row r="86" spans="1:5" x14ac:dyDescent="0.35">
      <c r="A86" s="451" t="s">
        <v>339</v>
      </c>
      <c r="B86" s="452" t="s">
        <v>340</v>
      </c>
      <c r="C86" s="803">
        <f>SUM(C83:C85)</f>
        <v>0</v>
      </c>
      <c r="D86" s="804">
        <f>SUM(D83:D85)</f>
        <v>0</v>
      </c>
      <c r="E86" s="805">
        <f t="shared" si="4"/>
        <v>0</v>
      </c>
    </row>
    <row r="87" spans="1:5" ht="15" thickBot="1" x14ac:dyDescent="0.4">
      <c r="A87" s="411" t="s">
        <v>341</v>
      </c>
      <c r="B87" s="450" t="s">
        <v>342</v>
      </c>
      <c r="C87" s="800">
        <v>0</v>
      </c>
      <c r="D87" s="795">
        <v>0</v>
      </c>
      <c r="E87" s="788">
        <f t="shared" si="4"/>
        <v>0</v>
      </c>
    </row>
    <row r="88" spans="1:5" ht="15" thickBot="1" x14ac:dyDescent="0.4">
      <c r="A88" s="421">
        <v>50399</v>
      </c>
      <c r="B88" s="610" t="s">
        <v>343</v>
      </c>
      <c r="C88" s="797">
        <f>SUM(C68:C82)+C86+C87</f>
        <v>0</v>
      </c>
      <c r="D88" s="798">
        <f>SUM(D68:D82)+D86+D87</f>
        <v>0</v>
      </c>
      <c r="E88" s="456">
        <f>SUM(E68:E82)+E86+E87</f>
        <v>0</v>
      </c>
    </row>
    <row r="89" spans="1:5" ht="15" thickBot="1" x14ac:dyDescent="0.4">
      <c r="A89" s="411" t="s">
        <v>344</v>
      </c>
      <c r="B89" s="450" t="s">
        <v>345</v>
      </c>
      <c r="C89" s="806">
        <v>0</v>
      </c>
      <c r="D89" s="787">
        <v>0</v>
      </c>
      <c r="E89" s="788">
        <f>C89+D89</f>
        <v>0</v>
      </c>
    </row>
    <row r="90" spans="1:5" ht="15" thickBot="1" x14ac:dyDescent="0.4">
      <c r="A90" s="421">
        <v>59999</v>
      </c>
      <c r="B90" s="610" t="s">
        <v>346</v>
      </c>
      <c r="C90" s="797">
        <f>C32+C49+C66+C88+C89</f>
        <v>0</v>
      </c>
      <c r="D90" s="798">
        <f>D32+D49+D66+D88+D89</f>
        <v>0</v>
      </c>
      <c r="E90" s="456">
        <f>E32+E49+E66+E88+E89</f>
        <v>0</v>
      </c>
    </row>
    <row r="91" spans="1:5" x14ac:dyDescent="0.35">
      <c r="A91" s="458" t="s">
        <v>347</v>
      </c>
      <c r="B91" s="538"/>
      <c r="C91" s="807"/>
      <c r="D91" s="793"/>
      <c r="E91" s="788"/>
    </row>
    <row r="92" spans="1:5" x14ac:dyDescent="0.35">
      <c r="A92" s="411" t="s">
        <v>348</v>
      </c>
      <c r="B92" s="450" t="s">
        <v>349</v>
      </c>
      <c r="C92" s="800">
        <v>0</v>
      </c>
      <c r="D92" s="795">
        <v>0</v>
      </c>
      <c r="E92" s="788">
        <f>SUM(C92:D92)</f>
        <v>0</v>
      </c>
    </row>
    <row r="93" spans="1:5" x14ac:dyDescent="0.35">
      <c r="A93" s="411" t="s">
        <v>350</v>
      </c>
      <c r="B93" s="450" t="s">
        <v>351</v>
      </c>
      <c r="C93" s="800">
        <v>0</v>
      </c>
      <c r="D93" s="795">
        <v>0</v>
      </c>
      <c r="E93" s="788">
        <f>SUM(C93:D93)</f>
        <v>0</v>
      </c>
    </row>
    <row r="94" spans="1:5" x14ac:dyDescent="0.35">
      <c r="A94" s="411" t="s">
        <v>352</v>
      </c>
      <c r="B94" s="450" t="s">
        <v>353</v>
      </c>
      <c r="C94" s="800">
        <v>0</v>
      </c>
      <c r="D94" s="795">
        <v>0</v>
      </c>
      <c r="E94" s="788">
        <f>SUM(C94:D94)</f>
        <v>0</v>
      </c>
    </row>
    <row r="95" spans="1:5" x14ac:dyDescent="0.35">
      <c r="A95" s="411" t="s">
        <v>354</v>
      </c>
      <c r="B95" s="450" t="s">
        <v>355</v>
      </c>
      <c r="C95" s="800">
        <v>0</v>
      </c>
      <c r="D95" s="795">
        <v>0</v>
      </c>
      <c r="E95" s="788">
        <f>SUM(C95:D95)</f>
        <v>0</v>
      </c>
    </row>
    <row r="96" spans="1:5" ht="15" thickBot="1" x14ac:dyDescent="0.4">
      <c r="A96" s="411" t="s">
        <v>356</v>
      </c>
      <c r="B96" s="450" t="s">
        <v>357</v>
      </c>
      <c r="C96" s="802">
        <v>0</v>
      </c>
      <c r="D96" s="795">
        <v>0</v>
      </c>
      <c r="E96" s="788">
        <f>SUM(C96:D96)</f>
        <v>0</v>
      </c>
    </row>
    <row r="97" spans="1:5" ht="15" thickBot="1" x14ac:dyDescent="0.4">
      <c r="A97" s="421">
        <v>85999</v>
      </c>
      <c r="B97" s="610" t="s">
        <v>358</v>
      </c>
      <c r="C97" s="797">
        <f>C90+SUM(C92:C96)</f>
        <v>0</v>
      </c>
      <c r="D97" s="798">
        <f>D90+SUM(D92:D96)</f>
        <v>0</v>
      </c>
      <c r="E97" s="456">
        <f>E90+SUM(E92:E96)</f>
        <v>0</v>
      </c>
    </row>
    <row r="98" spans="1:5" x14ac:dyDescent="0.35">
      <c r="A98" s="399" t="s">
        <v>359</v>
      </c>
      <c r="B98" s="538"/>
      <c r="C98" s="801"/>
      <c r="D98" s="793"/>
      <c r="E98" s="788"/>
    </row>
    <row r="99" spans="1:5" x14ac:dyDescent="0.35">
      <c r="A99" s="411" t="s">
        <v>360</v>
      </c>
      <c r="B99" s="450" t="s">
        <v>361</v>
      </c>
      <c r="C99" s="800">
        <v>0</v>
      </c>
      <c r="D99" s="795">
        <v>0</v>
      </c>
      <c r="E99" s="788">
        <f t="shared" ref="E99:E118" si="5">C99+D99</f>
        <v>0</v>
      </c>
    </row>
    <row r="100" spans="1:5" x14ac:dyDescent="0.35">
      <c r="A100" s="411" t="s">
        <v>362</v>
      </c>
      <c r="B100" s="450" t="s">
        <v>363</v>
      </c>
      <c r="C100" s="800">
        <v>0</v>
      </c>
      <c r="D100" s="795">
        <v>0</v>
      </c>
      <c r="E100" s="788">
        <f t="shared" si="5"/>
        <v>0</v>
      </c>
    </row>
    <row r="101" spans="1:5" x14ac:dyDescent="0.35">
      <c r="A101" s="411" t="s">
        <v>364</v>
      </c>
      <c r="B101" s="450" t="s">
        <v>365</v>
      </c>
      <c r="C101" s="800">
        <v>0</v>
      </c>
      <c r="D101" s="795">
        <v>0</v>
      </c>
      <c r="E101" s="788">
        <f t="shared" si="5"/>
        <v>0</v>
      </c>
    </row>
    <row r="102" spans="1:5" x14ac:dyDescent="0.35">
      <c r="A102" s="411" t="s">
        <v>366</v>
      </c>
      <c r="B102" s="450" t="s">
        <v>367</v>
      </c>
      <c r="C102" s="800">
        <v>0</v>
      </c>
      <c r="D102" s="795">
        <v>0</v>
      </c>
      <c r="E102" s="788">
        <f t="shared" si="5"/>
        <v>0</v>
      </c>
    </row>
    <row r="103" spans="1:5" x14ac:dyDescent="0.35">
      <c r="A103" s="411" t="s">
        <v>368</v>
      </c>
      <c r="B103" s="450" t="s">
        <v>369</v>
      </c>
      <c r="C103" s="800">
        <v>0</v>
      </c>
      <c r="D103" s="795">
        <v>0</v>
      </c>
      <c r="E103" s="788">
        <f t="shared" si="5"/>
        <v>0</v>
      </c>
    </row>
    <row r="104" spans="1:5" x14ac:dyDescent="0.35">
      <c r="A104" s="411" t="s">
        <v>370</v>
      </c>
      <c r="B104" s="450" t="s">
        <v>371</v>
      </c>
      <c r="C104" s="800">
        <v>0</v>
      </c>
      <c r="D104" s="795">
        <v>0</v>
      </c>
      <c r="E104" s="788">
        <f t="shared" si="5"/>
        <v>0</v>
      </c>
    </row>
    <row r="105" spans="1:5" x14ac:dyDescent="0.35">
      <c r="A105" s="411" t="s">
        <v>372</v>
      </c>
      <c r="B105" s="450" t="s">
        <v>373</v>
      </c>
      <c r="C105" s="800">
        <v>0</v>
      </c>
      <c r="D105" s="795">
        <v>0</v>
      </c>
      <c r="E105" s="788">
        <f t="shared" si="5"/>
        <v>0</v>
      </c>
    </row>
    <row r="106" spans="1:5" x14ac:dyDescent="0.35">
      <c r="A106" s="411" t="s">
        <v>374</v>
      </c>
      <c r="B106" s="450" t="s">
        <v>375</v>
      </c>
      <c r="C106" s="800">
        <v>0</v>
      </c>
      <c r="D106" s="795">
        <v>0</v>
      </c>
      <c r="E106" s="788">
        <f t="shared" si="5"/>
        <v>0</v>
      </c>
    </row>
    <row r="107" spans="1:5" x14ac:dyDescent="0.35">
      <c r="A107" s="411" t="s">
        <v>376</v>
      </c>
      <c r="B107" s="450" t="s">
        <v>377</v>
      </c>
      <c r="C107" s="800">
        <v>0</v>
      </c>
      <c r="D107" s="795">
        <v>0</v>
      </c>
      <c r="E107" s="788">
        <f t="shared" si="5"/>
        <v>0</v>
      </c>
    </row>
    <row r="108" spans="1:5" x14ac:dyDescent="0.35">
      <c r="A108" s="411" t="s">
        <v>378</v>
      </c>
      <c r="B108" s="450" t="s">
        <v>379</v>
      </c>
      <c r="C108" s="800">
        <v>0</v>
      </c>
      <c r="D108" s="795">
        <v>0</v>
      </c>
      <c r="E108" s="788">
        <f t="shared" si="5"/>
        <v>0</v>
      </c>
    </row>
    <row r="109" spans="1:5" x14ac:dyDescent="0.35">
      <c r="A109" s="411" t="s">
        <v>380</v>
      </c>
      <c r="B109" s="450" t="s">
        <v>381</v>
      </c>
      <c r="C109" s="800">
        <v>0</v>
      </c>
      <c r="D109" s="795">
        <v>0</v>
      </c>
      <c r="E109" s="788">
        <f t="shared" si="5"/>
        <v>0</v>
      </c>
    </row>
    <row r="110" spans="1:5" x14ac:dyDescent="0.35">
      <c r="A110" s="411" t="s">
        <v>382</v>
      </c>
      <c r="B110" s="450" t="s">
        <v>383</v>
      </c>
      <c r="C110" s="800">
        <v>0</v>
      </c>
      <c r="D110" s="795">
        <v>0</v>
      </c>
      <c r="E110" s="788">
        <f t="shared" si="5"/>
        <v>0</v>
      </c>
    </row>
    <row r="111" spans="1:5" x14ac:dyDescent="0.35">
      <c r="A111" s="411" t="s">
        <v>384</v>
      </c>
      <c r="B111" s="450" t="s">
        <v>385</v>
      </c>
      <c r="C111" s="800">
        <v>0</v>
      </c>
      <c r="D111" s="795">
        <v>0</v>
      </c>
      <c r="E111" s="788">
        <f t="shared" si="5"/>
        <v>0</v>
      </c>
    </row>
    <row r="112" spans="1:5" x14ac:dyDescent="0.35">
      <c r="A112" s="411" t="s">
        <v>386</v>
      </c>
      <c r="B112" s="450" t="s">
        <v>387</v>
      </c>
      <c r="C112" s="800">
        <v>0</v>
      </c>
      <c r="D112" s="795">
        <v>0</v>
      </c>
      <c r="E112" s="788">
        <f t="shared" si="5"/>
        <v>0</v>
      </c>
    </row>
    <row r="113" spans="1:5" x14ac:dyDescent="0.35">
      <c r="A113" s="411" t="s">
        <v>388</v>
      </c>
      <c r="B113" s="450" t="s">
        <v>389</v>
      </c>
      <c r="C113" s="800">
        <v>0</v>
      </c>
      <c r="D113" s="795">
        <v>0</v>
      </c>
      <c r="E113" s="788">
        <f t="shared" si="5"/>
        <v>0</v>
      </c>
    </row>
    <row r="114" spans="1:5" x14ac:dyDescent="0.35">
      <c r="A114" s="411" t="s">
        <v>390</v>
      </c>
      <c r="B114" s="450" t="s">
        <v>391</v>
      </c>
      <c r="C114" s="800">
        <v>0</v>
      </c>
      <c r="D114" s="795">
        <v>0</v>
      </c>
      <c r="E114" s="788">
        <f t="shared" si="5"/>
        <v>0</v>
      </c>
    </row>
    <row r="115" spans="1:5" x14ac:dyDescent="0.35">
      <c r="A115" s="411" t="s">
        <v>392</v>
      </c>
      <c r="B115" s="631" t="s">
        <v>393</v>
      </c>
      <c r="C115" s="800">
        <v>0</v>
      </c>
      <c r="D115" s="795">
        <v>0</v>
      </c>
      <c r="E115" s="788">
        <f t="shared" si="5"/>
        <v>0</v>
      </c>
    </row>
    <row r="116" spans="1:5" x14ac:dyDescent="0.35">
      <c r="A116" s="411" t="s">
        <v>394</v>
      </c>
      <c r="B116" s="631" t="s">
        <v>395</v>
      </c>
      <c r="C116" s="800">
        <v>0</v>
      </c>
      <c r="D116" s="795">
        <v>0</v>
      </c>
      <c r="E116" s="788">
        <f t="shared" si="5"/>
        <v>0</v>
      </c>
    </row>
    <row r="117" spans="1:5" x14ac:dyDescent="0.35">
      <c r="A117" s="411" t="s">
        <v>396</v>
      </c>
      <c r="B117" s="450" t="s">
        <v>397</v>
      </c>
      <c r="C117" s="800">
        <v>0</v>
      </c>
      <c r="D117" s="795">
        <v>0</v>
      </c>
      <c r="E117" s="788">
        <f t="shared" si="5"/>
        <v>0</v>
      </c>
    </row>
    <row r="118" spans="1:5" ht="15" thickBot="1" x14ac:dyDescent="0.4">
      <c r="A118" s="411" t="s">
        <v>398</v>
      </c>
      <c r="B118" s="450" t="s">
        <v>399</v>
      </c>
      <c r="C118" s="802">
        <v>0</v>
      </c>
      <c r="D118" s="795">
        <v>0</v>
      </c>
      <c r="E118" s="788">
        <f t="shared" si="5"/>
        <v>0</v>
      </c>
    </row>
    <row r="119" spans="1:5" ht="15" thickBot="1" x14ac:dyDescent="0.4">
      <c r="A119" s="421">
        <v>84999</v>
      </c>
      <c r="B119" s="610" t="s">
        <v>400</v>
      </c>
      <c r="C119" s="797">
        <f>SUM(C99:C118)</f>
        <v>0</v>
      </c>
      <c r="D119" s="798">
        <f>SUM(D99:D118)</f>
        <v>0</v>
      </c>
      <c r="E119" s="456">
        <f>SUM(E99:E118)</f>
        <v>0</v>
      </c>
    </row>
    <row r="120" spans="1:5" x14ac:dyDescent="0.35">
      <c r="C120" s="808"/>
      <c r="D120" s="809"/>
      <c r="E120" s="810"/>
    </row>
    <row r="121" spans="1:5" ht="15" thickBot="1" x14ac:dyDescent="0.4">
      <c r="A121" s="1351" t="s">
        <v>401</v>
      </c>
      <c r="B121" s="521" t="s">
        <v>402</v>
      </c>
      <c r="C121" s="811">
        <v>0</v>
      </c>
      <c r="D121" s="812">
        <v>0</v>
      </c>
      <c r="E121" s="813">
        <f>C121+D121</f>
        <v>0</v>
      </c>
    </row>
    <row r="122" spans="1:5" ht="15" thickBot="1" x14ac:dyDescent="0.4">
      <c r="A122" s="421">
        <v>86999</v>
      </c>
      <c r="B122" s="633" t="s">
        <v>403</v>
      </c>
      <c r="C122" s="460">
        <f>C97+C119+C121</f>
        <v>0</v>
      </c>
      <c r="D122" s="461">
        <f>D97+D119+D121</f>
        <v>0</v>
      </c>
      <c r="E122" s="423">
        <f>E97+E119+E121</f>
        <v>0</v>
      </c>
    </row>
    <row r="123" spans="1:5" x14ac:dyDescent="0.35">
      <c r="A123" s="817"/>
      <c r="B123" s="818"/>
      <c r="C123" s="819"/>
      <c r="D123" s="820"/>
      <c r="E123" s="821"/>
    </row>
    <row r="124" spans="1:5" x14ac:dyDescent="0.35">
      <c r="A124" s="470">
        <v>87999</v>
      </c>
      <c r="B124" s="471" t="s">
        <v>404</v>
      </c>
      <c r="C124" s="822">
        <f>(C24-C21)-C122</f>
        <v>0</v>
      </c>
      <c r="D124" s="823">
        <f>(D24-D21)-D122</f>
        <v>0</v>
      </c>
      <c r="E124" s="824">
        <f>(E24-E21)-E122</f>
        <v>0</v>
      </c>
    </row>
    <row r="125" spans="1:5" x14ac:dyDescent="0.35">
      <c r="A125" s="480" t="s">
        <v>405</v>
      </c>
      <c r="B125" s="481" t="s">
        <v>406</v>
      </c>
      <c r="C125" s="819">
        <f>C21</f>
        <v>0</v>
      </c>
      <c r="D125" s="820">
        <f>D21</f>
        <v>0</v>
      </c>
      <c r="E125" s="813">
        <f>E21</f>
        <v>0</v>
      </c>
    </row>
    <row r="126" spans="1:5" ht="13.5" customHeight="1" x14ac:dyDescent="0.35">
      <c r="A126" s="480" t="s">
        <v>407</v>
      </c>
      <c r="B126" s="481" t="s">
        <v>408</v>
      </c>
      <c r="C126" s="811">
        <v>0</v>
      </c>
      <c r="D126" s="414">
        <v>0</v>
      </c>
      <c r="E126" s="813">
        <f>C126+D126</f>
        <v>0</v>
      </c>
    </row>
    <row r="127" spans="1:5" ht="13.5" customHeight="1" x14ac:dyDescent="0.35">
      <c r="A127" s="470">
        <v>88999</v>
      </c>
      <c r="B127" s="471" t="s">
        <v>409</v>
      </c>
      <c r="C127" s="822">
        <f>C125+C126</f>
        <v>0</v>
      </c>
      <c r="D127" s="823">
        <f>D125+D126</f>
        <v>0</v>
      </c>
      <c r="E127" s="824">
        <f>E125+E126</f>
        <v>0</v>
      </c>
    </row>
    <row r="128" spans="1:5" ht="15" thickBot="1" x14ac:dyDescent="0.4">
      <c r="A128" s="493"/>
      <c r="B128" s="494"/>
      <c r="C128" s="825"/>
      <c r="D128" s="440"/>
      <c r="E128" s="816"/>
    </row>
    <row r="129" spans="1:5" ht="15" thickBot="1" x14ac:dyDescent="0.4">
      <c r="A129" s="421">
        <v>89999</v>
      </c>
      <c r="B129" s="610" t="s">
        <v>410</v>
      </c>
      <c r="C129" s="460">
        <f>C124+C127</f>
        <v>0</v>
      </c>
      <c r="D129" s="461">
        <f>D124+D127</f>
        <v>0</v>
      </c>
      <c r="E129" s="423">
        <f>E124+E127</f>
        <v>0</v>
      </c>
    </row>
    <row r="130" spans="1:5" x14ac:dyDescent="0.35">
      <c r="C130" s="808"/>
      <c r="D130" s="809"/>
      <c r="E130" s="810"/>
    </row>
    <row r="131" spans="1:5" x14ac:dyDescent="0.35">
      <c r="A131" s="411" t="s">
        <v>411</v>
      </c>
      <c r="B131" s="412" t="s">
        <v>412</v>
      </c>
      <c r="C131" s="811">
        <v>0</v>
      </c>
      <c r="D131" s="812">
        <v>0</v>
      </c>
      <c r="E131" s="813">
        <f>C131+D131</f>
        <v>0</v>
      </c>
    </row>
    <row r="132" spans="1:5" ht="15" thickBot="1" x14ac:dyDescent="0.4">
      <c r="A132" s="458"/>
      <c r="B132" s="412"/>
      <c r="C132" s="814"/>
      <c r="D132" s="815"/>
      <c r="E132" s="816"/>
    </row>
    <row r="133" spans="1:5" ht="15" thickBot="1" x14ac:dyDescent="0.4">
      <c r="A133" s="421">
        <v>99999</v>
      </c>
      <c r="B133" s="610" t="s">
        <v>413</v>
      </c>
      <c r="C133" s="460">
        <f>C129-C131</f>
        <v>0</v>
      </c>
      <c r="D133" s="461">
        <f t="shared" ref="D133:E133" si="6">D129-D131</f>
        <v>0</v>
      </c>
      <c r="E133" s="423">
        <f t="shared" si="6"/>
        <v>0</v>
      </c>
    </row>
    <row r="134" spans="1:5" x14ac:dyDescent="0.35">
      <c r="A134" s="458"/>
      <c r="B134" s="450"/>
      <c r="C134" s="825"/>
      <c r="D134" s="440"/>
      <c r="E134" s="813"/>
    </row>
    <row r="135" spans="1:5" x14ac:dyDescent="0.35">
      <c r="A135" s="411" t="s">
        <v>414</v>
      </c>
      <c r="B135" s="450" t="s">
        <v>415</v>
      </c>
      <c r="C135" s="811">
        <v>0</v>
      </c>
      <c r="D135" s="414">
        <v>0</v>
      </c>
      <c r="E135" s="813">
        <f>C135+D135</f>
        <v>0</v>
      </c>
    </row>
    <row r="136" spans="1:5" x14ac:dyDescent="0.35">
      <c r="A136" s="411" t="s">
        <v>416</v>
      </c>
      <c r="B136" s="538" t="s">
        <v>417</v>
      </c>
      <c r="C136" s="811">
        <v>0</v>
      </c>
      <c r="D136" s="414">
        <v>0</v>
      </c>
      <c r="E136" s="813">
        <f>C136+D136</f>
        <v>0</v>
      </c>
    </row>
    <row r="137" spans="1:5" x14ac:dyDescent="0.35">
      <c r="A137" s="411" t="s">
        <v>418</v>
      </c>
      <c r="B137" s="538" t="s">
        <v>419</v>
      </c>
      <c r="C137" s="811">
        <v>0</v>
      </c>
      <c r="D137" s="414">
        <v>0</v>
      </c>
      <c r="E137" s="813">
        <f>C137+D137</f>
        <v>0</v>
      </c>
    </row>
    <row r="138" spans="1:5" x14ac:dyDescent="0.35">
      <c r="A138" s="411" t="s">
        <v>420</v>
      </c>
      <c r="B138" s="538" t="s">
        <v>421</v>
      </c>
      <c r="C138" s="811">
        <v>0</v>
      </c>
      <c r="D138" s="414">
        <v>0</v>
      </c>
      <c r="E138" s="813">
        <f>C138+D138</f>
        <v>0</v>
      </c>
    </row>
    <row r="139" spans="1:5" ht="15" thickBot="1" x14ac:dyDescent="0.4">
      <c r="A139" s="458"/>
      <c r="B139" s="450"/>
      <c r="C139" s="825"/>
      <c r="D139" s="440"/>
      <c r="E139" s="813"/>
    </row>
    <row r="140" spans="1:5" ht="15" thickBot="1" x14ac:dyDescent="0.4">
      <c r="A140" s="421">
        <v>999999</v>
      </c>
      <c r="B140" s="610" t="s">
        <v>422</v>
      </c>
      <c r="C140" s="460">
        <f>C133-C135-C136-C137-C138</f>
        <v>0</v>
      </c>
      <c r="D140" s="461">
        <f>D133-D135-D136-D137-D138</f>
        <v>0</v>
      </c>
      <c r="E140" s="423">
        <f>E133-E135-E136-E137-E138</f>
        <v>0</v>
      </c>
    </row>
  </sheetData>
  <printOptions gridLinesSet="0"/>
  <pageMargins left="0.22" right="0.17" top="0.3" bottom="1" header="0.17" footer="0.5"/>
  <pageSetup scale="40" orientation="portrait" r:id="rId1"/>
  <headerFooter alignWithMargins="0">
    <oddFooter>&amp;L&amp;Z&amp;F&amp;A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DA67-EC7B-4054-969C-E0505FA9D628}">
  <sheetPr>
    <pageSetUpPr fitToPage="1"/>
  </sheetPr>
  <dimension ref="A1:H82"/>
  <sheetViews>
    <sheetView showGridLines="0" zoomScaleNormal="100" zoomScaleSheetLayoutView="75" workbookViewId="0">
      <selection activeCell="B62" sqref="B62"/>
    </sheetView>
  </sheetViews>
  <sheetFormatPr defaultColWidth="9.1796875" defaultRowHeight="14.5" x14ac:dyDescent="0.35"/>
  <cols>
    <col min="1" max="1" width="23.1796875" style="705" customWidth="1"/>
    <col min="2" max="2" width="50.7265625" style="21" customWidth="1"/>
    <col min="3" max="6" width="19.81640625" style="21" customWidth="1"/>
    <col min="7" max="7" width="18.1796875" style="21" bestFit="1" customWidth="1"/>
    <col min="8" max="8" width="69.81640625" style="21" customWidth="1"/>
    <col min="9" max="16384" width="9.1796875" style="21"/>
  </cols>
  <sheetData>
    <row r="1" spans="1:6" ht="15" thickBot="1" x14ac:dyDescent="0.4">
      <c r="A1" s="1458" t="s">
        <v>762</v>
      </c>
      <c r="B1" s="1441"/>
      <c r="C1" s="1441"/>
      <c r="D1" s="1441"/>
      <c r="E1" s="1441"/>
      <c r="F1" s="1442"/>
    </row>
    <row r="2" spans="1:6" x14ac:dyDescent="0.35">
      <c r="A2" s="597" t="s">
        <v>45</v>
      </c>
      <c r="B2" s="23" t="str">
        <f>'FS-Balance Sheet 3.04'!B4</f>
        <v>Select Contractor Name</v>
      </c>
    </row>
    <row r="3" spans="1:6" x14ac:dyDescent="0.35">
      <c r="A3" s="597" t="s">
        <v>708</v>
      </c>
      <c r="B3" s="40" t="str">
        <f>'Instruction &amp; Audit Report B '!C21</f>
        <v>mm/dd/yyyy</v>
      </c>
    </row>
    <row r="4" spans="1:6" ht="15" thickBot="1" x14ac:dyDescent="0.4"/>
    <row r="5" spans="1:6" ht="15" thickBot="1" x14ac:dyDescent="0.4">
      <c r="A5" s="2206" t="s">
        <v>763</v>
      </c>
      <c r="B5" s="2207"/>
      <c r="C5" s="2207"/>
      <c r="D5" s="2207"/>
      <c r="E5" s="2207"/>
      <c r="F5" s="2208"/>
    </row>
    <row r="6" spans="1:6" ht="29.15" customHeight="1" thickBot="1" x14ac:dyDescent="0.4">
      <c r="A6" s="1579" t="s">
        <v>188</v>
      </c>
      <c r="B6" s="1989" t="s">
        <v>189</v>
      </c>
      <c r="C6" s="1549" t="s">
        <v>190</v>
      </c>
      <c r="D6" s="1995" t="s">
        <v>191</v>
      </c>
      <c r="E6" s="1963" t="s">
        <v>192</v>
      </c>
      <c r="F6" s="1958" t="s">
        <v>764</v>
      </c>
    </row>
    <row r="7" spans="1:6" x14ac:dyDescent="0.35">
      <c r="A7" s="706" t="s">
        <v>271</v>
      </c>
      <c r="B7" s="1990" t="s">
        <v>272</v>
      </c>
      <c r="C7" s="1996">
        <v>0</v>
      </c>
      <c r="D7" s="1997">
        <v>0</v>
      </c>
      <c r="E7" s="420">
        <f>SUM(C7:D7)</f>
        <v>0</v>
      </c>
      <c r="F7" s="1959">
        <v>0</v>
      </c>
    </row>
    <row r="8" spans="1:6" x14ac:dyDescent="0.35">
      <c r="A8" s="707" t="s">
        <v>273</v>
      </c>
      <c r="B8" s="1991" t="s">
        <v>765</v>
      </c>
      <c r="C8" s="1998">
        <v>0</v>
      </c>
      <c r="D8" s="1999">
        <v>0</v>
      </c>
      <c r="E8" s="1961">
        <f>SUM(C8:D8)</f>
        <v>0</v>
      </c>
      <c r="F8" s="1960">
        <v>0</v>
      </c>
    </row>
    <row r="9" spans="1:6" x14ac:dyDescent="0.35">
      <c r="A9" s="707" t="s">
        <v>275</v>
      </c>
      <c r="B9" s="1991" t="s">
        <v>276</v>
      </c>
      <c r="C9" s="1998">
        <v>0</v>
      </c>
      <c r="D9" s="1999">
        <v>0</v>
      </c>
      <c r="E9" s="1961">
        <f t="shared" ref="E9:E38" si="0">SUM(C9:D9)</f>
        <v>0</v>
      </c>
      <c r="F9" s="1960">
        <v>0</v>
      </c>
    </row>
    <row r="10" spans="1:6" x14ac:dyDescent="0.35">
      <c r="A10" s="707" t="s">
        <v>277</v>
      </c>
      <c r="B10" s="1991" t="s">
        <v>278</v>
      </c>
      <c r="C10" s="1998">
        <v>0</v>
      </c>
      <c r="D10" s="1999">
        <v>0</v>
      </c>
      <c r="E10" s="1961">
        <f t="shared" si="0"/>
        <v>0</v>
      </c>
      <c r="F10" s="1960">
        <v>0</v>
      </c>
    </row>
    <row r="11" spans="1:6" x14ac:dyDescent="0.35">
      <c r="A11" s="707" t="s">
        <v>279</v>
      </c>
      <c r="B11" s="1991" t="s">
        <v>280</v>
      </c>
      <c r="C11" s="1998">
        <v>0</v>
      </c>
      <c r="D11" s="1999">
        <v>0</v>
      </c>
      <c r="E11" s="1961">
        <f>SUM(C11:D11)</f>
        <v>0</v>
      </c>
      <c r="F11" s="1960">
        <v>0</v>
      </c>
    </row>
    <row r="12" spans="1:6" x14ac:dyDescent="0.35">
      <c r="A12" s="707" t="s">
        <v>281</v>
      </c>
      <c r="B12" s="1991" t="s">
        <v>282</v>
      </c>
      <c r="C12" s="1998">
        <v>0</v>
      </c>
      <c r="D12" s="1999">
        <v>0</v>
      </c>
      <c r="E12" s="1961">
        <f t="shared" si="0"/>
        <v>0</v>
      </c>
      <c r="F12" s="1960">
        <v>0</v>
      </c>
    </row>
    <row r="13" spans="1:6" x14ac:dyDescent="0.35">
      <c r="A13" s="707" t="s">
        <v>283</v>
      </c>
      <c r="B13" s="708" t="s">
        <v>284</v>
      </c>
      <c r="C13" s="1998">
        <v>0</v>
      </c>
      <c r="D13" s="1999">
        <v>0</v>
      </c>
      <c r="E13" s="1961">
        <f t="shared" si="0"/>
        <v>0</v>
      </c>
      <c r="F13" s="1960">
        <v>0</v>
      </c>
    </row>
    <row r="14" spans="1:6" x14ac:dyDescent="0.35">
      <c r="A14" s="707" t="s">
        <v>285</v>
      </c>
      <c r="B14" s="1991" t="s">
        <v>286</v>
      </c>
      <c r="C14" s="1998">
        <v>0</v>
      </c>
      <c r="D14" s="1999">
        <v>0</v>
      </c>
      <c r="E14" s="1961">
        <f t="shared" si="0"/>
        <v>0</v>
      </c>
      <c r="F14" s="1960">
        <v>0</v>
      </c>
    </row>
    <row r="15" spans="1:6" x14ac:dyDescent="0.35">
      <c r="A15" s="707" t="s">
        <v>287</v>
      </c>
      <c r="B15" s="1992" t="s">
        <v>288</v>
      </c>
      <c r="C15" s="1998">
        <v>0</v>
      </c>
      <c r="D15" s="1999">
        <v>0</v>
      </c>
      <c r="E15" s="1961">
        <f t="shared" si="0"/>
        <v>0</v>
      </c>
      <c r="F15" s="1960">
        <v>0</v>
      </c>
    </row>
    <row r="16" spans="1:6" x14ac:dyDescent="0.35">
      <c r="A16" s="707" t="s">
        <v>289</v>
      </c>
      <c r="B16" s="1991" t="s">
        <v>290</v>
      </c>
      <c r="C16" s="1998">
        <v>0</v>
      </c>
      <c r="D16" s="1999">
        <v>0</v>
      </c>
      <c r="E16" s="1961">
        <f t="shared" si="0"/>
        <v>0</v>
      </c>
      <c r="F16" s="1960">
        <v>0</v>
      </c>
    </row>
    <row r="17" spans="1:6" x14ac:dyDescent="0.35">
      <c r="A17" s="707" t="s">
        <v>291</v>
      </c>
      <c r="B17" s="1991" t="s">
        <v>292</v>
      </c>
      <c r="C17" s="1998">
        <v>0</v>
      </c>
      <c r="D17" s="1999">
        <v>0</v>
      </c>
      <c r="E17" s="1961">
        <f t="shared" si="0"/>
        <v>0</v>
      </c>
      <c r="F17" s="1960">
        <v>0</v>
      </c>
    </row>
    <row r="18" spans="1:6" x14ac:dyDescent="0.35">
      <c r="A18" s="707" t="s">
        <v>293</v>
      </c>
      <c r="B18" s="1991" t="s">
        <v>294</v>
      </c>
      <c r="C18" s="1998">
        <v>0</v>
      </c>
      <c r="D18" s="1999">
        <v>0</v>
      </c>
      <c r="E18" s="1961">
        <f t="shared" si="0"/>
        <v>0</v>
      </c>
      <c r="F18" s="1960">
        <v>0</v>
      </c>
    </row>
    <row r="19" spans="1:6" x14ac:dyDescent="0.35">
      <c r="A19" s="707" t="s">
        <v>295</v>
      </c>
      <c r="B19" s="1991" t="s">
        <v>296</v>
      </c>
      <c r="C19" s="1998">
        <v>0</v>
      </c>
      <c r="D19" s="1999">
        <v>0</v>
      </c>
      <c r="E19" s="1961">
        <f t="shared" si="0"/>
        <v>0</v>
      </c>
      <c r="F19" s="1960">
        <v>0</v>
      </c>
    </row>
    <row r="20" spans="1:6" x14ac:dyDescent="0.35">
      <c r="A20" s="707" t="s">
        <v>297</v>
      </c>
      <c r="B20" s="1991" t="s">
        <v>298</v>
      </c>
      <c r="C20" s="1998">
        <v>0</v>
      </c>
      <c r="D20" s="1999">
        <v>0</v>
      </c>
      <c r="E20" s="1961">
        <f t="shared" si="0"/>
        <v>0</v>
      </c>
      <c r="F20" s="1960">
        <v>0</v>
      </c>
    </row>
    <row r="21" spans="1:6" x14ac:dyDescent="0.35">
      <c r="A21" s="707" t="s">
        <v>299</v>
      </c>
      <c r="B21" s="1993" t="s">
        <v>300</v>
      </c>
      <c r="C21" s="1998">
        <v>0</v>
      </c>
      <c r="D21" s="1999">
        <v>0</v>
      </c>
      <c r="E21" s="1961">
        <f t="shared" si="0"/>
        <v>0</v>
      </c>
      <c r="F21" s="1960">
        <v>0</v>
      </c>
    </row>
    <row r="22" spans="1:6" x14ac:dyDescent="0.35">
      <c r="A22" s="709" t="s">
        <v>309</v>
      </c>
      <c r="B22" s="710" t="s">
        <v>310</v>
      </c>
      <c r="C22" s="1998">
        <v>0</v>
      </c>
      <c r="D22" s="1999">
        <v>0</v>
      </c>
      <c r="E22" s="1961">
        <f t="shared" si="0"/>
        <v>0</v>
      </c>
      <c r="F22" s="1960">
        <v>0</v>
      </c>
    </row>
    <row r="23" spans="1:6" x14ac:dyDescent="0.35">
      <c r="A23" s="709" t="s">
        <v>311</v>
      </c>
      <c r="B23" s="710" t="s">
        <v>312</v>
      </c>
      <c r="C23" s="1998">
        <v>0</v>
      </c>
      <c r="D23" s="1999">
        <v>0</v>
      </c>
      <c r="E23" s="1961">
        <f t="shared" si="0"/>
        <v>0</v>
      </c>
      <c r="F23" s="1960">
        <v>0</v>
      </c>
    </row>
    <row r="24" spans="1:6" x14ac:dyDescent="0.35">
      <c r="A24" s="709" t="s">
        <v>313</v>
      </c>
      <c r="B24" s="710" t="s">
        <v>314</v>
      </c>
      <c r="C24" s="1998">
        <v>0</v>
      </c>
      <c r="D24" s="1999">
        <v>0</v>
      </c>
      <c r="E24" s="1961">
        <f t="shared" si="0"/>
        <v>0</v>
      </c>
      <c r="F24" s="1960">
        <v>0</v>
      </c>
    </row>
    <row r="25" spans="1:6" x14ac:dyDescent="0.35">
      <c r="A25" s="709" t="s">
        <v>315</v>
      </c>
      <c r="B25" s="710" t="s">
        <v>316</v>
      </c>
      <c r="C25" s="1998">
        <v>0</v>
      </c>
      <c r="D25" s="1999">
        <v>0</v>
      </c>
      <c r="E25" s="1961">
        <f t="shared" si="0"/>
        <v>0</v>
      </c>
      <c r="F25" s="1960">
        <v>0</v>
      </c>
    </row>
    <row r="26" spans="1:6" x14ac:dyDescent="0.35">
      <c r="A26" s="709" t="s">
        <v>317</v>
      </c>
      <c r="B26" s="710" t="s">
        <v>318</v>
      </c>
      <c r="C26" s="1998">
        <v>0</v>
      </c>
      <c r="D26" s="1999">
        <v>0</v>
      </c>
      <c r="E26" s="1961">
        <f>SUM(C26:D26)</f>
        <v>0</v>
      </c>
      <c r="F26" s="1960">
        <v>0</v>
      </c>
    </row>
    <row r="27" spans="1:6" x14ac:dyDescent="0.35">
      <c r="A27" s="709" t="s">
        <v>319</v>
      </c>
      <c r="B27" s="710" t="s">
        <v>320</v>
      </c>
      <c r="C27" s="1998">
        <v>0</v>
      </c>
      <c r="D27" s="1999">
        <v>0</v>
      </c>
      <c r="E27" s="1961">
        <f t="shared" si="0"/>
        <v>0</v>
      </c>
      <c r="F27" s="1960">
        <v>0</v>
      </c>
    </row>
    <row r="28" spans="1:6" x14ac:dyDescent="0.35">
      <c r="A28" s="709" t="s">
        <v>321</v>
      </c>
      <c r="B28" s="710" t="s">
        <v>322</v>
      </c>
      <c r="C28" s="1998">
        <v>0</v>
      </c>
      <c r="D28" s="1999">
        <v>0</v>
      </c>
      <c r="E28" s="1961">
        <f t="shared" si="0"/>
        <v>0</v>
      </c>
      <c r="F28" s="1960">
        <v>0</v>
      </c>
    </row>
    <row r="29" spans="1:6" x14ac:dyDescent="0.35">
      <c r="A29" s="709" t="s">
        <v>323</v>
      </c>
      <c r="B29" s="710" t="s">
        <v>324</v>
      </c>
      <c r="C29" s="1998">
        <v>0</v>
      </c>
      <c r="D29" s="1999">
        <v>0</v>
      </c>
      <c r="E29" s="1961">
        <f t="shared" si="0"/>
        <v>0</v>
      </c>
      <c r="F29" s="1960">
        <v>0</v>
      </c>
    </row>
    <row r="30" spans="1:6" x14ac:dyDescent="0.35">
      <c r="A30" s="709" t="s">
        <v>325</v>
      </c>
      <c r="B30" s="710" t="s">
        <v>326</v>
      </c>
      <c r="C30" s="1998">
        <v>0</v>
      </c>
      <c r="D30" s="1999">
        <v>0</v>
      </c>
      <c r="E30" s="1961">
        <f t="shared" si="0"/>
        <v>0</v>
      </c>
      <c r="F30" s="1960">
        <v>0</v>
      </c>
    </row>
    <row r="31" spans="1:6" x14ac:dyDescent="0.35">
      <c r="A31" s="709" t="s">
        <v>327</v>
      </c>
      <c r="B31" s="710" t="s">
        <v>328</v>
      </c>
      <c r="C31" s="1998">
        <v>0</v>
      </c>
      <c r="D31" s="1999">
        <v>0</v>
      </c>
      <c r="E31" s="1961">
        <f t="shared" si="0"/>
        <v>0</v>
      </c>
      <c r="F31" s="1960">
        <v>0</v>
      </c>
    </row>
    <row r="32" spans="1:6" x14ac:dyDescent="0.35">
      <c r="A32" s="709" t="s">
        <v>329</v>
      </c>
      <c r="B32" s="710" t="s">
        <v>330</v>
      </c>
      <c r="C32" s="1998">
        <v>0</v>
      </c>
      <c r="D32" s="1999">
        <v>0</v>
      </c>
      <c r="E32" s="1961">
        <f t="shared" si="0"/>
        <v>0</v>
      </c>
      <c r="F32" s="1960">
        <v>0</v>
      </c>
    </row>
    <row r="33" spans="1:6" x14ac:dyDescent="0.35">
      <c r="A33" s="709" t="s">
        <v>331</v>
      </c>
      <c r="B33" s="710" t="s">
        <v>332</v>
      </c>
      <c r="C33" s="1998">
        <v>0</v>
      </c>
      <c r="D33" s="1999">
        <v>0</v>
      </c>
      <c r="E33" s="1961">
        <f t="shared" si="0"/>
        <v>0</v>
      </c>
      <c r="F33" s="1960">
        <v>0</v>
      </c>
    </row>
    <row r="34" spans="1:6" x14ac:dyDescent="0.35">
      <c r="A34" s="709" t="s">
        <v>333</v>
      </c>
      <c r="B34" s="710" t="s">
        <v>334</v>
      </c>
      <c r="C34" s="1998">
        <v>0</v>
      </c>
      <c r="D34" s="1999">
        <v>0</v>
      </c>
      <c r="E34" s="1961">
        <f>SUM(C34:D34)</f>
        <v>0</v>
      </c>
      <c r="F34" s="1960">
        <v>0</v>
      </c>
    </row>
    <row r="35" spans="1:6" x14ac:dyDescent="0.35">
      <c r="A35" s="709" t="s">
        <v>335</v>
      </c>
      <c r="B35" s="710" t="s">
        <v>336</v>
      </c>
      <c r="C35" s="1998">
        <v>0</v>
      </c>
      <c r="D35" s="1999">
        <v>0</v>
      </c>
      <c r="E35" s="1961">
        <f t="shared" ref="E35:E36" si="1">SUM(C35:D35)</f>
        <v>0</v>
      </c>
      <c r="F35" s="1960">
        <v>0</v>
      </c>
    </row>
    <row r="36" spans="1:6" x14ac:dyDescent="0.35">
      <c r="A36" s="709" t="s">
        <v>337</v>
      </c>
      <c r="B36" s="710" t="s">
        <v>338</v>
      </c>
      <c r="C36" s="1998">
        <v>0</v>
      </c>
      <c r="D36" s="1999">
        <v>0</v>
      </c>
      <c r="E36" s="1961">
        <f t="shared" si="1"/>
        <v>0</v>
      </c>
      <c r="F36" s="1960">
        <v>0</v>
      </c>
    </row>
    <row r="37" spans="1:6" x14ac:dyDescent="0.35">
      <c r="A37" s="1987" t="s">
        <v>307</v>
      </c>
      <c r="B37" s="1988" t="s">
        <v>308</v>
      </c>
      <c r="C37" s="1998">
        <v>0</v>
      </c>
      <c r="D37" s="1999">
        <v>0</v>
      </c>
      <c r="E37" s="1961">
        <f t="shared" ref="E37" si="2">SUM(C37:D37)</f>
        <v>0</v>
      </c>
      <c r="F37" s="1960">
        <v>0</v>
      </c>
    </row>
    <row r="38" spans="1:6" ht="15" thickBot="1" x14ac:dyDescent="0.4">
      <c r="A38" s="707" t="s">
        <v>341</v>
      </c>
      <c r="B38" s="1993" t="s">
        <v>766</v>
      </c>
      <c r="C38" s="1998">
        <v>0</v>
      </c>
      <c r="D38" s="1999">
        <v>0</v>
      </c>
      <c r="E38" s="1961">
        <f t="shared" si="0"/>
        <v>0</v>
      </c>
      <c r="F38" s="1960">
        <v>0</v>
      </c>
    </row>
    <row r="39" spans="1:6" ht="15" thickBot="1" x14ac:dyDescent="0.4">
      <c r="A39" s="711"/>
      <c r="B39" s="1994" t="s">
        <v>767</v>
      </c>
      <c r="C39" s="2000">
        <f>SUM(C7:C38)</f>
        <v>0</v>
      </c>
      <c r="D39" s="712">
        <f>SUM(D7:D38)</f>
        <v>0</v>
      </c>
      <c r="E39" s="1962">
        <f>SUM(C39:D39)</f>
        <v>0</v>
      </c>
      <c r="F39" s="712">
        <f>SUM(F7:F38)</f>
        <v>0</v>
      </c>
    </row>
    <row r="40" spans="1:6" ht="15" thickBot="1" x14ac:dyDescent="0.4"/>
    <row r="41" spans="1:6" ht="15" thickBot="1" x14ac:dyDescent="0.4">
      <c r="A41" s="2206" t="s">
        <v>768</v>
      </c>
      <c r="B41" s="2207"/>
      <c r="C41" s="2207"/>
      <c r="D41" s="2207"/>
      <c r="E41" s="2207"/>
      <c r="F41" s="2208"/>
    </row>
    <row r="42" spans="1:6" ht="29.5" thickBot="1" x14ac:dyDescent="0.4">
      <c r="A42" s="1579" t="s">
        <v>188</v>
      </c>
      <c r="B42" s="1989" t="s">
        <v>189</v>
      </c>
      <c r="C42" s="1549" t="s">
        <v>190</v>
      </c>
      <c r="D42" s="1995" t="s">
        <v>191</v>
      </c>
      <c r="E42" s="1963" t="s">
        <v>192</v>
      </c>
      <c r="F42" s="1958" t="str">
        <f>F6</f>
        <v>Contract Year To Date Amount</v>
      </c>
    </row>
    <row r="43" spans="1:6" x14ac:dyDescent="0.35">
      <c r="A43" s="706" t="s">
        <v>271</v>
      </c>
      <c r="B43" s="1990" t="s">
        <v>272</v>
      </c>
      <c r="C43" s="1996">
        <v>0</v>
      </c>
      <c r="D43" s="1997">
        <v>0</v>
      </c>
      <c r="E43" s="420">
        <f>SUM(C43:D43)</f>
        <v>0</v>
      </c>
      <c r="F43" s="1959">
        <v>0</v>
      </c>
    </row>
    <row r="44" spans="1:6" x14ac:dyDescent="0.35">
      <c r="A44" s="707" t="s">
        <v>273</v>
      </c>
      <c r="B44" s="1991" t="s">
        <v>765</v>
      </c>
      <c r="C44" s="1998">
        <v>0</v>
      </c>
      <c r="D44" s="1999">
        <v>0</v>
      </c>
      <c r="E44" s="1961">
        <f>SUM(C44:D44)</f>
        <v>0</v>
      </c>
      <c r="F44" s="1960">
        <v>0</v>
      </c>
    </row>
    <row r="45" spans="1:6" x14ac:dyDescent="0.35">
      <c r="A45" s="707" t="s">
        <v>275</v>
      </c>
      <c r="B45" s="1991" t="s">
        <v>276</v>
      </c>
      <c r="C45" s="1998">
        <v>0</v>
      </c>
      <c r="D45" s="1999">
        <v>0</v>
      </c>
      <c r="E45" s="1961">
        <f t="shared" ref="E45:E61" si="3">SUM(C45:D45)</f>
        <v>0</v>
      </c>
      <c r="F45" s="1960">
        <v>0</v>
      </c>
    </row>
    <row r="46" spans="1:6" x14ac:dyDescent="0.35">
      <c r="A46" s="707" t="s">
        <v>277</v>
      </c>
      <c r="B46" s="1991" t="s">
        <v>278</v>
      </c>
      <c r="C46" s="1998">
        <v>0</v>
      </c>
      <c r="D46" s="1999">
        <v>0</v>
      </c>
      <c r="E46" s="1961">
        <f t="shared" si="3"/>
        <v>0</v>
      </c>
      <c r="F46" s="1960">
        <v>0</v>
      </c>
    </row>
    <row r="47" spans="1:6" x14ac:dyDescent="0.35">
      <c r="A47" s="707" t="s">
        <v>279</v>
      </c>
      <c r="B47" s="1991" t="s">
        <v>280</v>
      </c>
      <c r="C47" s="1998">
        <v>0</v>
      </c>
      <c r="D47" s="1999">
        <v>0</v>
      </c>
      <c r="E47" s="1961">
        <f t="shared" si="3"/>
        <v>0</v>
      </c>
      <c r="F47" s="1960">
        <v>0</v>
      </c>
    </row>
    <row r="48" spans="1:6" x14ac:dyDescent="0.35">
      <c r="A48" s="707" t="s">
        <v>281</v>
      </c>
      <c r="B48" s="1991" t="s">
        <v>282</v>
      </c>
      <c r="C48" s="1998">
        <v>0</v>
      </c>
      <c r="D48" s="1999">
        <v>0</v>
      </c>
      <c r="E48" s="1961">
        <f t="shared" si="3"/>
        <v>0</v>
      </c>
      <c r="F48" s="1960">
        <v>0</v>
      </c>
    </row>
    <row r="49" spans="1:6" x14ac:dyDescent="0.35">
      <c r="A49" s="707" t="s">
        <v>283</v>
      </c>
      <c r="B49" s="708" t="s">
        <v>284</v>
      </c>
      <c r="C49" s="1998">
        <v>0</v>
      </c>
      <c r="D49" s="1999">
        <v>0</v>
      </c>
      <c r="E49" s="1961">
        <f t="shared" si="3"/>
        <v>0</v>
      </c>
      <c r="F49" s="1960">
        <v>0</v>
      </c>
    </row>
    <row r="50" spans="1:6" x14ac:dyDescent="0.35">
      <c r="A50" s="707" t="s">
        <v>285</v>
      </c>
      <c r="B50" s="1991" t="s">
        <v>286</v>
      </c>
      <c r="C50" s="1998">
        <v>0</v>
      </c>
      <c r="D50" s="1999">
        <v>0</v>
      </c>
      <c r="E50" s="1961">
        <f t="shared" si="3"/>
        <v>0</v>
      </c>
      <c r="F50" s="1960">
        <v>0</v>
      </c>
    </row>
    <row r="51" spans="1:6" x14ac:dyDescent="0.35">
      <c r="A51" s="707" t="s">
        <v>287</v>
      </c>
      <c r="B51" s="1992" t="s">
        <v>288</v>
      </c>
      <c r="C51" s="1998">
        <v>0</v>
      </c>
      <c r="D51" s="1999">
        <v>0</v>
      </c>
      <c r="E51" s="1961">
        <f t="shared" si="3"/>
        <v>0</v>
      </c>
      <c r="F51" s="1960">
        <v>0</v>
      </c>
    </row>
    <row r="52" spans="1:6" x14ac:dyDescent="0.35">
      <c r="A52" s="707" t="s">
        <v>289</v>
      </c>
      <c r="B52" s="1991" t="s">
        <v>290</v>
      </c>
      <c r="C52" s="1998">
        <v>0</v>
      </c>
      <c r="D52" s="1999">
        <v>0</v>
      </c>
      <c r="E52" s="1961">
        <f t="shared" si="3"/>
        <v>0</v>
      </c>
      <c r="F52" s="1960">
        <v>0</v>
      </c>
    </row>
    <row r="53" spans="1:6" x14ac:dyDescent="0.35">
      <c r="A53" s="707" t="s">
        <v>291</v>
      </c>
      <c r="B53" s="1991" t="s">
        <v>292</v>
      </c>
      <c r="C53" s="1998">
        <v>0</v>
      </c>
      <c r="D53" s="1999">
        <v>0</v>
      </c>
      <c r="E53" s="1961">
        <f t="shared" si="3"/>
        <v>0</v>
      </c>
      <c r="F53" s="1960">
        <v>0</v>
      </c>
    </row>
    <row r="54" spans="1:6" x14ac:dyDescent="0.35">
      <c r="A54" s="707" t="s">
        <v>293</v>
      </c>
      <c r="B54" s="1991" t="s">
        <v>294</v>
      </c>
      <c r="C54" s="1998">
        <v>0</v>
      </c>
      <c r="D54" s="1999">
        <v>0</v>
      </c>
      <c r="E54" s="1961">
        <f t="shared" si="3"/>
        <v>0</v>
      </c>
      <c r="F54" s="1960">
        <v>0</v>
      </c>
    </row>
    <row r="55" spans="1:6" x14ac:dyDescent="0.35">
      <c r="A55" s="707" t="s">
        <v>295</v>
      </c>
      <c r="B55" s="1991" t="s">
        <v>296</v>
      </c>
      <c r="C55" s="1998">
        <v>0</v>
      </c>
      <c r="D55" s="1999">
        <v>0</v>
      </c>
      <c r="E55" s="1961">
        <f t="shared" si="3"/>
        <v>0</v>
      </c>
      <c r="F55" s="1960">
        <v>0</v>
      </c>
    </row>
    <row r="56" spans="1:6" x14ac:dyDescent="0.35">
      <c r="A56" s="707" t="s">
        <v>297</v>
      </c>
      <c r="B56" s="1991" t="s">
        <v>298</v>
      </c>
      <c r="C56" s="1998">
        <v>0</v>
      </c>
      <c r="D56" s="1999">
        <v>0</v>
      </c>
      <c r="E56" s="1961">
        <f t="shared" si="3"/>
        <v>0</v>
      </c>
      <c r="F56" s="1960">
        <v>0</v>
      </c>
    </row>
    <row r="57" spans="1:6" x14ac:dyDescent="0.35">
      <c r="A57" s="707" t="s">
        <v>299</v>
      </c>
      <c r="B57" s="1993" t="s">
        <v>300</v>
      </c>
      <c r="C57" s="1998">
        <v>0</v>
      </c>
      <c r="D57" s="1999">
        <v>0</v>
      </c>
      <c r="E57" s="1961">
        <f t="shared" si="3"/>
        <v>0</v>
      </c>
      <c r="F57" s="1960">
        <v>0</v>
      </c>
    </row>
    <row r="58" spans="1:6" x14ac:dyDescent="0.35">
      <c r="A58" s="709" t="s">
        <v>309</v>
      </c>
      <c r="B58" s="710" t="s">
        <v>310</v>
      </c>
      <c r="C58" s="1998">
        <v>0</v>
      </c>
      <c r="D58" s="1999">
        <v>0</v>
      </c>
      <c r="E58" s="1961">
        <f t="shared" si="3"/>
        <v>0</v>
      </c>
      <c r="F58" s="1960">
        <v>0</v>
      </c>
    </row>
    <row r="59" spans="1:6" x14ac:dyDescent="0.35">
      <c r="A59" s="709" t="s">
        <v>311</v>
      </c>
      <c r="B59" s="710" t="s">
        <v>312</v>
      </c>
      <c r="C59" s="1998">
        <v>0</v>
      </c>
      <c r="D59" s="1999">
        <v>0</v>
      </c>
      <c r="E59" s="1961">
        <f t="shared" si="3"/>
        <v>0</v>
      </c>
      <c r="F59" s="1960">
        <v>0</v>
      </c>
    </row>
    <row r="60" spans="1:6" x14ac:dyDescent="0.35">
      <c r="A60" s="709" t="s">
        <v>313</v>
      </c>
      <c r="B60" s="710" t="s">
        <v>314</v>
      </c>
      <c r="C60" s="1998">
        <v>0</v>
      </c>
      <c r="D60" s="1999">
        <v>0</v>
      </c>
      <c r="E60" s="1961">
        <f t="shared" si="3"/>
        <v>0</v>
      </c>
      <c r="F60" s="1960">
        <v>0</v>
      </c>
    </row>
    <row r="61" spans="1:6" x14ac:dyDescent="0.35">
      <c r="A61" s="709" t="s">
        <v>315</v>
      </c>
      <c r="B61" s="710" t="s">
        <v>316</v>
      </c>
      <c r="C61" s="1998">
        <v>0</v>
      </c>
      <c r="D61" s="1999">
        <v>0</v>
      </c>
      <c r="E61" s="1961">
        <f t="shared" si="3"/>
        <v>0</v>
      </c>
      <c r="F61" s="1960">
        <v>0</v>
      </c>
    </row>
    <row r="62" spans="1:6" x14ac:dyDescent="0.35">
      <c r="A62" s="709" t="s">
        <v>317</v>
      </c>
      <c r="B62" s="710" t="s">
        <v>318</v>
      </c>
      <c r="C62" s="1998">
        <v>0</v>
      </c>
      <c r="D62" s="1999">
        <v>0</v>
      </c>
      <c r="E62" s="1961">
        <f>SUM(C62:D62)</f>
        <v>0</v>
      </c>
      <c r="F62" s="1960">
        <v>0</v>
      </c>
    </row>
    <row r="63" spans="1:6" x14ac:dyDescent="0.35">
      <c r="A63" s="709" t="s">
        <v>319</v>
      </c>
      <c r="B63" s="710" t="s">
        <v>320</v>
      </c>
      <c r="C63" s="1998">
        <v>0</v>
      </c>
      <c r="D63" s="1999">
        <v>0</v>
      </c>
      <c r="E63" s="1961">
        <f t="shared" ref="E63:E74" si="4">SUM(C63:D63)</f>
        <v>0</v>
      </c>
      <c r="F63" s="1960">
        <v>0</v>
      </c>
    </row>
    <row r="64" spans="1:6" x14ac:dyDescent="0.35">
      <c r="A64" s="709" t="s">
        <v>321</v>
      </c>
      <c r="B64" s="710" t="s">
        <v>322</v>
      </c>
      <c r="C64" s="1998">
        <v>0</v>
      </c>
      <c r="D64" s="1999">
        <v>0</v>
      </c>
      <c r="E64" s="1961">
        <f t="shared" si="4"/>
        <v>0</v>
      </c>
      <c r="F64" s="1960">
        <v>0</v>
      </c>
    </row>
    <row r="65" spans="1:8" x14ac:dyDescent="0.35">
      <c r="A65" s="709" t="s">
        <v>323</v>
      </c>
      <c r="B65" s="710" t="s">
        <v>324</v>
      </c>
      <c r="C65" s="1998">
        <v>0</v>
      </c>
      <c r="D65" s="1999">
        <v>0</v>
      </c>
      <c r="E65" s="1961">
        <f t="shared" si="4"/>
        <v>0</v>
      </c>
      <c r="F65" s="1960">
        <v>0</v>
      </c>
    </row>
    <row r="66" spans="1:8" x14ac:dyDescent="0.35">
      <c r="A66" s="709" t="s">
        <v>325</v>
      </c>
      <c r="B66" s="710" t="s">
        <v>326</v>
      </c>
      <c r="C66" s="1998">
        <v>0</v>
      </c>
      <c r="D66" s="1999">
        <v>0</v>
      </c>
      <c r="E66" s="1961">
        <f t="shared" si="4"/>
        <v>0</v>
      </c>
      <c r="F66" s="1960">
        <v>0</v>
      </c>
    </row>
    <row r="67" spans="1:8" x14ac:dyDescent="0.35">
      <c r="A67" s="709" t="s">
        <v>327</v>
      </c>
      <c r="B67" s="710" t="s">
        <v>328</v>
      </c>
      <c r="C67" s="1998">
        <v>0</v>
      </c>
      <c r="D67" s="1999">
        <v>0</v>
      </c>
      <c r="E67" s="1961">
        <f t="shared" si="4"/>
        <v>0</v>
      </c>
      <c r="F67" s="1960">
        <v>0</v>
      </c>
    </row>
    <row r="68" spans="1:8" x14ac:dyDescent="0.35">
      <c r="A68" s="713" t="s">
        <v>329</v>
      </c>
      <c r="B68" s="714" t="s">
        <v>330</v>
      </c>
      <c r="C68" s="1998">
        <v>0</v>
      </c>
      <c r="D68" s="1999">
        <v>0</v>
      </c>
      <c r="E68" s="1961">
        <f t="shared" si="4"/>
        <v>0</v>
      </c>
      <c r="F68" s="1960">
        <v>0</v>
      </c>
    </row>
    <row r="69" spans="1:8" x14ac:dyDescent="0.35">
      <c r="A69" s="713" t="s">
        <v>331</v>
      </c>
      <c r="B69" s="714" t="s">
        <v>332</v>
      </c>
      <c r="C69" s="1998">
        <v>0</v>
      </c>
      <c r="D69" s="1999">
        <v>0</v>
      </c>
      <c r="E69" s="1961">
        <f>SUM(C69:D69)</f>
        <v>0</v>
      </c>
      <c r="F69" s="1960">
        <v>0</v>
      </c>
    </row>
    <row r="70" spans="1:8" x14ac:dyDescent="0.35">
      <c r="A70" s="715" t="s">
        <v>333</v>
      </c>
      <c r="B70" s="710" t="s">
        <v>334</v>
      </c>
      <c r="C70" s="1998">
        <v>0</v>
      </c>
      <c r="D70" s="1999">
        <v>0</v>
      </c>
      <c r="E70" s="1961">
        <f>SUM(C70:D70)</f>
        <v>0</v>
      </c>
      <c r="F70" s="1960">
        <v>0</v>
      </c>
    </row>
    <row r="71" spans="1:8" x14ac:dyDescent="0.35">
      <c r="A71" s="715" t="s">
        <v>335</v>
      </c>
      <c r="B71" s="710" t="s">
        <v>336</v>
      </c>
      <c r="C71" s="1998">
        <v>0</v>
      </c>
      <c r="D71" s="1999">
        <v>0</v>
      </c>
      <c r="E71" s="1961">
        <f>SUM(C71:D71)</f>
        <v>0</v>
      </c>
      <c r="F71" s="1960">
        <v>0</v>
      </c>
    </row>
    <row r="72" spans="1:8" x14ac:dyDescent="0.35">
      <c r="A72" s="715" t="s">
        <v>337</v>
      </c>
      <c r="B72" s="710" t="s">
        <v>338</v>
      </c>
      <c r="C72" s="1998">
        <v>0</v>
      </c>
      <c r="D72" s="1999">
        <v>0</v>
      </c>
      <c r="E72" s="1961">
        <f t="shared" si="4"/>
        <v>0</v>
      </c>
      <c r="F72" s="1960">
        <v>0</v>
      </c>
    </row>
    <row r="73" spans="1:8" x14ac:dyDescent="0.35">
      <c r="A73" s="1987" t="s">
        <v>307</v>
      </c>
      <c r="B73" s="1988" t="s">
        <v>308</v>
      </c>
      <c r="C73" s="1998">
        <v>0</v>
      </c>
      <c r="D73" s="1999">
        <v>0</v>
      </c>
      <c r="E73" s="1961">
        <f t="shared" si="4"/>
        <v>0</v>
      </c>
      <c r="F73" s="1960">
        <v>0</v>
      </c>
    </row>
    <row r="74" spans="1:8" ht="15" thickBot="1" x14ac:dyDescent="0.4">
      <c r="A74" s="707" t="s">
        <v>341</v>
      </c>
      <c r="B74" s="1993" t="s">
        <v>766</v>
      </c>
      <c r="C74" s="1998">
        <v>0</v>
      </c>
      <c r="D74" s="1999">
        <v>0</v>
      </c>
      <c r="E74" s="1961">
        <f t="shared" si="4"/>
        <v>0</v>
      </c>
      <c r="F74" s="1960">
        <v>0</v>
      </c>
    </row>
    <row r="75" spans="1:8" ht="15" thickBot="1" x14ac:dyDescent="0.4">
      <c r="A75" s="711"/>
      <c r="B75" s="1994" t="s">
        <v>769</v>
      </c>
      <c r="C75" s="2000">
        <f>SUM(C43:C74)</f>
        <v>0</v>
      </c>
      <c r="D75" s="712">
        <f>SUM(D43:D74)</f>
        <v>0</v>
      </c>
      <c r="E75" s="1962">
        <f>SUM(C75:D75)</f>
        <v>0</v>
      </c>
      <c r="F75" s="712">
        <f>SUM(F43:F74)</f>
        <v>0</v>
      </c>
    </row>
    <row r="76" spans="1:8" ht="15" thickBot="1" x14ac:dyDescent="0.4">
      <c r="A76" s="2206" t="s">
        <v>770</v>
      </c>
      <c r="B76" s="2207"/>
      <c r="C76" s="2207"/>
      <c r="D76" s="2207"/>
      <c r="E76" s="2207"/>
      <c r="F76" s="2208"/>
    </row>
    <row r="77" spans="1:8" ht="29.5" thickBot="1" x14ac:dyDescent="0.4">
      <c r="A77" s="1579" t="s">
        <v>188</v>
      </c>
      <c r="B77" s="1989" t="s">
        <v>189</v>
      </c>
      <c r="C77" s="1549" t="s">
        <v>190</v>
      </c>
      <c r="D77" s="1995" t="s">
        <v>191</v>
      </c>
      <c r="E77" s="1963" t="s">
        <v>457</v>
      </c>
      <c r="F77" s="1958" t="s">
        <v>764</v>
      </c>
      <c r="G77" s="1966" t="s">
        <v>771</v>
      </c>
    </row>
    <row r="78" spans="1:8" ht="15" thickBot="1" x14ac:dyDescent="0.4">
      <c r="A78" s="716"/>
      <c r="B78" s="2001" t="s">
        <v>772</v>
      </c>
      <c r="C78" s="2000">
        <f>C39+C75</f>
        <v>0</v>
      </c>
      <c r="D78" s="712">
        <f>D39+D75</f>
        <v>0</v>
      </c>
      <c r="E78" s="1962">
        <f>E39+E75</f>
        <v>0</v>
      </c>
      <c r="F78" s="712">
        <f>F39+F75</f>
        <v>0</v>
      </c>
      <c r="G78" s="712"/>
    </row>
    <row r="79" spans="1:8" ht="17" thickBot="1" x14ac:dyDescent="0.4">
      <c r="A79" s="717" t="s">
        <v>773</v>
      </c>
      <c r="B79" s="2002" t="s">
        <v>391</v>
      </c>
      <c r="C79" s="2003">
        <v>0</v>
      </c>
      <c r="D79" s="2004">
        <v>0</v>
      </c>
      <c r="E79" s="1965">
        <f t="shared" ref="E79" si="5">SUM(C79:D79)</f>
        <v>0</v>
      </c>
      <c r="F79" s="1964">
        <v>0</v>
      </c>
      <c r="G79" s="718" cm="1">
        <f t="array" ref="G79">_xlfn.XLOOKUP($B$3,_xlfn.CHOOSECOLS('FS-Income Statement 3.05'!$C$5:$Q$5,3,7,11,15),_xlfn.XLOOKUP("81605-01",'FS-Income Statement 3.05'!$A$7:$A$203,_xlfn.CHOOSECOLS('FS-Income Statement 3.05'!$C$7:$Q$203,3,7,11,15)))</f>
        <v>0</v>
      </c>
      <c r="H79" s="2080" t="str">
        <f>IF(OR(E79=0,G79=0),"",IF(ROUND(E79,0)&lt;&gt;ROUND(G79,0),"Current quarter amount does not match the Income Statement. Correction Required",""))</f>
        <v/>
      </c>
    </row>
    <row r="80" spans="1:8" ht="15" thickBot="1" x14ac:dyDescent="0.4">
      <c r="A80" s="711"/>
      <c r="B80" s="2001" t="s">
        <v>774</v>
      </c>
      <c r="C80" s="2000">
        <f>SUM(C78:C79)</f>
        <v>0</v>
      </c>
      <c r="D80" s="719">
        <f>SUM(D78:D79)</f>
        <v>0</v>
      </c>
      <c r="E80" s="1962">
        <f>SUM(E78:E79)</f>
        <v>0</v>
      </c>
      <c r="F80" s="712">
        <f>SUM(F78:F79)</f>
        <v>0</v>
      </c>
      <c r="G80" s="719"/>
    </row>
    <row r="82" spans="1:1" ht="16.5" x14ac:dyDescent="0.35">
      <c r="A82" s="705" t="s">
        <v>775</v>
      </c>
    </row>
  </sheetData>
  <mergeCells count="3">
    <mergeCell ref="A41:F41"/>
    <mergeCell ref="A5:F5"/>
    <mergeCell ref="A76:F76"/>
  </mergeCells>
  <conditionalFormatting sqref="H79">
    <cfRule type="containsText" dxfId="10" priority="1" operator="containsText" text="Correction Required">
      <formula>NOT(ISERROR(SEARCH("Correction Required",H79)))</formula>
    </cfRule>
  </conditionalFormatting>
  <pageMargins left="0.22" right="0.17" top="0.3" bottom="1" header="0.17" footer="0.5"/>
  <pageSetup orientation="portrait" r:id="rId1"/>
  <headerFooter alignWithMargins="0">
    <oddFooter>&amp;L&amp;Z&amp;F&amp;A</oddFooter>
  </headerFooter>
  <ignoredErrors>
    <ignoredError sqref="E39 E75"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D8D7-BF61-434E-809A-DFAFBEB7F328}">
  <dimension ref="A1:U35"/>
  <sheetViews>
    <sheetView showGridLines="0" zoomScaleNormal="100" workbookViewId="0">
      <selection activeCell="A2" sqref="A2"/>
    </sheetView>
  </sheetViews>
  <sheetFormatPr defaultColWidth="8.7265625" defaultRowHeight="14.5" x14ac:dyDescent="0.35"/>
  <cols>
    <col min="1" max="1" width="43.453125" style="7" customWidth="1"/>
    <col min="2" max="2" width="25.453125" style="7" customWidth="1"/>
    <col min="3" max="3" width="39.81640625" style="7" customWidth="1"/>
    <col min="4" max="4" width="41.453125" style="7" customWidth="1"/>
    <col min="5" max="5" width="22" style="7" customWidth="1"/>
    <col min="6" max="6" width="23.81640625" style="7" customWidth="1"/>
    <col min="7" max="16384" width="8.7265625" style="7"/>
  </cols>
  <sheetData>
    <row r="1" spans="1:21" ht="15" thickBot="1" x14ac:dyDescent="0.4">
      <c r="A1" s="1580" t="s">
        <v>776</v>
      </c>
      <c r="B1" s="1581"/>
      <c r="C1" s="1581"/>
      <c r="D1" s="1581"/>
      <c r="E1" s="1581"/>
      <c r="F1" s="1582"/>
      <c r="G1" s="2081"/>
      <c r="H1" s="2081"/>
      <c r="I1" s="2081"/>
      <c r="J1" s="2081"/>
      <c r="K1" s="2081"/>
      <c r="L1" s="2081"/>
      <c r="M1" s="2081"/>
      <c r="N1" s="2081"/>
      <c r="O1" s="2081"/>
      <c r="P1" s="2081"/>
      <c r="Q1" s="2081"/>
      <c r="R1" s="2081"/>
      <c r="S1" s="2081"/>
      <c r="T1" s="2081"/>
      <c r="U1" s="2081"/>
    </row>
    <row r="2" spans="1:21" x14ac:dyDescent="0.35">
      <c r="A2" s="690" t="str">
        <f>"Contractor Name: "&amp;'Instruction &amp; Audit Report B '!C20</f>
        <v>Contractor Name: Select Contractor Name</v>
      </c>
      <c r="B2" s="2081"/>
      <c r="C2" s="2081"/>
      <c r="D2" s="2081"/>
      <c r="E2" s="2081"/>
      <c r="F2" s="2081"/>
      <c r="G2" s="2081"/>
      <c r="H2" s="2081"/>
      <c r="I2" s="2081"/>
      <c r="J2" s="2081"/>
      <c r="K2" s="2081"/>
      <c r="L2" s="2081"/>
      <c r="M2" s="2081"/>
      <c r="N2" s="2081"/>
      <c r="O2" s="2081"/>
      <c r="P2" s="2081"/>
      <c r="Q2" s="2081"/>
      <c r="R2" s="2081"/>
      <c r="S2" s="2081"/>
      <c r="T2" s="2081"/>
      <c r="U2" s="2081"/>
    </row>
    <row r="3" spans="1:21" x14ac:dyDescent="0.35">
      <c r="A3" s="690" t="str">
        <f>"Contract Year to Date As of: "&amp;TEXT('Instruction &amp; Audit Report B '!C21,"mm/dd/yyyy")</f>
        <v>Contract Year to Date As of: mm/dd/yyyy</v>
      </c>
      <c r="B3" s="2081"/>
      <c r="C3" s="2081"/>
      <c r="D3" s="2081"/>
      <c r="E3" s="2081"/>
      <c r="F3" s="2081"/>
      <c r="G3" s="2081"/>
      <c r="H3" s="2081"/>
      <c r="I3" s="2081"/>
      <c r="J3" s="2081"/>
      <c r="K3" s="2081"/>
      <c r="L3" s="2081"/>
      <c r="M3" s="2081"/>
      <c r="N3" s="2081"/>
      <c r="O3" s="2081"/>
      <c r="P3" s="2081"/>
      <c r="Q3" s="2081"/>
      <c r="R3" s="2081"/>
      <c r="S3" s="2081"/>
      <c r="T3" s="2081"/>
      <c r="U3" s="2081"/>
    </row>
    <row r="4" spans="1:21" ht="15" thickBot="1" x14ac:dyDescent="0.4">
      <c r="A4" s="2081"/>
      <c r="B4" s="2081"/>
      <c r="C4" s="2082"/>
      <c r="D4" s="691"/>
      <c r="E4" s="2081"/>
      <c r="F4" s="2081"/>
      <c r="G4" s="2081"/>
      <c r="H4" s="2081"/>
      <c r="I4" s="2081"/>
      <c r="J4" s="2081"/>
      <c r="K4" s="2081"/>
      <c r="L4" s="2081"/>
      <c r="M4" s="2081"/>
      <c r="N4" s="2081"/>
      <c r="O4" s="2081"/>
      <c r="P4" s="2081"/>
      <c r="Q4" s="2081"/>
      <c r="R4" s="2081"/>
      <c r="S4" s="2081"/>
      <c r="T4" s="2081"/>
      <c r="U4" s="2081"/>
    </row>
    <row r="5" spans="1:21" ht="131" thickBot="1" x14ac:dyDescent="0.4">
      <c r="A5" s="1583" t="s">
        <v>777</v>
      </c>
      <c r="B5" s="1584" t="s">
        <v>778</v>
      </c>
      <c r="C5" s="1585" t="s">
        <v>779</v>
      </c>
      <c r="D5" s="1585" t="s">
        <v>780</v>
      </c>
      <c r="E5" s="1585" t="s">
        <v>781</v>
      </c>
      <c r="F5" s="1586" t="s">
        <v>782</v>
      </c>
      <c r="G5" s="2081"/>
      <c r="H5" s="2081"/>
      <c r="I5" s="2081"/>
      <c r="J5" s="2081"/>
      <c r="K5" s="2081"/>
      <c r="L5" s="2081"/>
      <c r="M5" s="2081"/>
      <c r="N5" s="2081"/>
      <c r="O5" s="2081"/>
      <c r="P5" s="2081"/>
      <c r="Q5" s="2081"/>
      <c r="R5" s="2081"/>
      <c r="S5" s="2081"/>
      <c r="T5" s="2081"/>
      <c r="U5" s="2081"/>
    </row>
    <row r="6" spans="1:21" x14ac:dyDescent="0.35">
      <c r="A6" s="2083"/>
      <c r="B6" s="692">
        <v>0</v>
      </c>
      <c r="C6" s="2084" t="s">
        <v>640</v>
      </c>
      <c r="D6" s="2084" t="s">
        <v>435</v>
      </c>
      <c r="E6" s="2084" t="s">
        <v>640</v>
      </c>
      <c r="F6" s="693">
        <v>0</v>
      </c>
      <c r="G6" s="2081"/>
      <c r="H6" s="2081"/>
      <c r="I6" s="2081"/>
      <c r="J6" s="2081"/>
      <c r="K6" s="2081"/>
      <c r="L6" s="2081"/>
      <c r="M6" s="2081"/>
      <c r="N6" s="2081"/>
      <c r="O6" s="2081"/>
      <c r="P6" s="2081"/>
      <c r="Q6" s="2081"/>
      <c r="R6" s="2081"/>
      <c r="S6" s="694" t="s">
        <v>783</v>
      </c>
      <c r="T6" s="694" t="s">
        <v>784</v>
      </c>
      <c r="U6" s="694" t="s">
        <v>785</v>
      </c>
    </row>
    <row r="7" spans="1:21" x14ac:dyDescent="0.35">
      <c r="A7" s="2085"/>
      <c r="B7" s="695">
        <v>0</v>
      </c>
      <c r="C7" s="2086" t="s">
        <v>640</v>
      </c>
      <c r="D7" s="2086" t="s">
        <v>435</v>
      </c>
      <c r="E7" s="2086" t="s">
        <v>640</v>
      </c>
      <c r="F7" s="696">
        <v>0</v>
      </c>
      <c r="G7" s="2081"/>
      <c r="H7" s="2081"/>
      <c r="I7" s="2081"/>
      <c r="J7" s="2081"/>
      <c r="K7" s="2081"/>
      <c r="L7" s="2081"/>
      <c r="M7" s="2081"/>
      <c r="N7" s="2081"/>
      <c r="O7" s="2081"/>
      <c r="P7" s="2081"/>
      <c r="Q7" s="2081"/>
      <c r="R7" s="2081"/>
      <c r="S7" s="694" t="s">
        <v>786</v>
      </c>
      <c r="T7" s="694" t="s">
        <v>787</v>
      </c>
      <c r="U7" s="694" t="s">
        <v>788</v>
      </c>
    </row>
    <row r="8" spans="1:21" x14ac:dyDescent="0.35">
      <c r="A8" s="2085"/>
      <c r="B8" s="695">
        <v>0</v>
      </c>
      <c r="C8" s="2086" t="s">
        <v>640</v>
      </c>
      <c r="D8" s="2086" t="s">
        <v>435</v>
      </c>
      <c r="E8" s="2086" t="s">
        <v>640</v>
      </c>
      <c r="F8" s="696">
        <v>0</v>
      </c>
      <c r="G8" s="2081"/>
      <c r="H8" s="2081"/>
      <c r="I8" s="2081"/>
      <c r="J8" s="2081"/>
      <c r="K8" s="2081"/>
      <c r="L8" s="2081"/>
      <c r="M8" s="2081"/>
      <c r="N8" s="2081"/>
      <c r="O8" s="2081"/>
      <c r="P8" s="2081"/>
      <c r="Q8" s="2081"/>
      <c r="R8" s="2081"/>
      <c r="S8" s="694"/>
      <c r="T8" s="694" t="s">
        <v>789</v>
      </c>
      <c r="U8" s="694" t="s">
        <v>789</v>
      </c>
    </row>
    <row r="9" spans="1:21" x14ac:dyDescent="0.35">
      <c r="A9" s="2085"/>
      <c r="B9" s="695">
        <v>0</v>
      </c>
      <c r="C9" s="2086" t="s">
        <v>640</v>
      </c>
      <c r="D9" s="2086" t="s">
        <v>435</v>
      </c>
      <c r="E9" s="2086" t="s">
        <v>640</v>
      </c>
      <c r="F9" s="696">
        <v>0</v>
      </c>
      <c r="G9" s="2081"/>
      <c r="H9" s="2081"/>
      <c r="I9" s="2081"/>
      <c r="J9" s="2081"/>
      <c r="K9" s="2081"/>
      <c r="L9" s="2081"/>
      <c r="M9" s="2081"/>
      <c r="N9" s="2081"/>
      <c r="O9" s="2081"/>
      <c r="P9" s="2081"/>
      <c r="Q9" s="2081"/>
      <c r="R9" s="2081"/>
      <c r="S9" s="2081"/>
      <c r="T9" s="2081"/>
      <c r="U9" s="697"/>
    </row>
    <row r="10" spans="1:21" x14ac:dyDescent="0.35">
      <c r="A10" s="2085"/>
      <c r="B10" s="695">
        <v>0</v>
      </c>
      <c r="C10" s="2086" t="s">
        <v>640</v>
      </c>
      <c r="D10" s="2086" t="s">
        <v>435</v>
      </c>
      <c r="E10" s="2086" t="s">
        <v>640</v>
      </c>
      <c r="F10" s="696">
        <v>0</v>
      </c>
      <c r="G10" s="2081"/>
      <c r="H10" s="2081"/>
      <c r="I10" s="2081"/>
      <c r="J10" s="2081"/>
      <c r="K10" s="2081"/>
      <c r="L10" s="2081"/>
      <c r="M10" s="2081"/>
      <c r="N10" s="2081"/>
      <c r="O10" s="2081"/>
      <c r="P10" s="2081"/>
      <c r="Q10" s="2081"/>
      <c r="R10" s="2081"/>
      <c r="S10" s="2081"/>
      <c r="T10" s="2081"/>
      <c r="U10" s="2081"/>
    </row>
    <row r="11" spans="1:21" x14ac:dyDescent="0.35">
      <c r="A11" s="2085"/>
      <c r="B11" s="695">
        <v>0</v>
      </c>
      <c r="C11" s="2086" t="s">
        <v>640</v>
      </c>
      <c r="D11" s="2086" t="s">
        <v>435</v>
      </c>
      <c r="E11" s="2086" t="s">
        <v>640</v>
      </c>
      <c r="F11" s="696">
        <v>0</v>
      </c>
      <c r="G11" s="2081"/>
      <c r="H11" s="2081"/>
      <c r="I11" s="2081"/>
      <c r="J11" s="2081"/>
      <c r="K11" s="2081"/>
      <c r="L11" s="2081"/>
      <c r="M11" s="2081"/>
      <c r="N11" s="2081"/>
      <c r="O11" s="2081"/>
      <c r="P11" s="2081"/>
      <c r="Q11" s="2081"/>
      <c r="R11" s="2081"/>
      <c r="S11" s="2081"/>
      <c r="T11" s="2081"/>
      <c r="U11" s="2081"/>
    </row>
    <row r="12" spans="1:21" x14ac:dyDescent="0.35">
      <c r="A12" s="2085"/>
      <c r="B12" s="695">
        <v>0</v>
      </c>
      <c r="C12" s="2086" t="s">
        <v>640</v>
      </c>
      <c r="D12" s="2086" t="s">
        <v>435</v>
      </c>
      <c r="E12" s="2086" t="s">
        <v>640</v>
      </c>
      <c r="F12" s="696">
        <v>0</v>
      </c>
      <c r="G12" s="2081"/>
      <c r="H12" s="2081"/>
      <c r="I12" s="2081"/>
      <c r="J12" s="2081"/>
      <c r="K12" s="2081"/>
      <c r="L12" s="2081"/>
      <c r="M12" s="2081"/>
      <c r="N12" s="2081"/>
      <c r="O12" s="2081"/>
      <c r="P12" s="2081"/>
      <c r="Q12" s="2081"/>
      <c r="R12" s="2081"/>
      <c r="S12" s="2081"/>
      <c r="T12" s="2081"/>
      <c r="U12" s="2081"/>
    </row>
    <row r="13" spans="1:21" x14ac:dyDescent="0.35">
      <c r="A13" s="2085"/>
      <c r="B13" s="695">
        <v>0</v>
      </c>
      <c r="C13" s="2086" t="s">
        <v>640</v>
      </c>
      <c r="D13" s="2086" t="s">
        <v>435</v>
      </c>
      <c r="E13" s="2086" t="s">
        <v>640</v>
      </c>
      <c r="F13" s="696">
        <v>0</v>
      </c>
      <c r="G13" s="2081"/>
      <c r="H13" s="2081"/>
      <c r="I13" s="2081"/>
      <c r="J13" s="2081"/>
      <c r="K13" s="2081"/>
      <c r="L13" s="2081"/>
      <c r="M13" s="2081"/>
      <c r="N13" s="2081"/>
      <c r="O13" s="2081"/>
      <c r="P13" s="2081"/>
      <c r="Q13" s="2081"/>
      <c r="R13" s="2081"/>
      <c r="S13" s="2081"/>
      <c r="T13" s="2081"/>
      <c r="U13" s="2081"/>
    </row>
    <row r="14" spans="1:21" x14ac:dyDescent="0.35">
      <c r="A14" s="2085"/>
      <c r="B14" s="695">
        <v>0</v>
      </c>
      <c r="C14" s="2086" t="s">
        <v>640</v>
      </c>
      <c r="D14" s="2086" t="s">
        <v>435</v>
      </c>
      <c r="E14" s="2086" t="s">
        <v>640</v>
      </c>
      <c r="F14" s="696">
        <v>0</v>
      </c>
      <c r="G14" s="2081"/>
      <c r="H14" s="2081"/>
      <c r="I14" s="2081"/>
      <c r="J14" s="2081"/>
      <c r="K14" s="2081"/>
      <c r="L14" s="2081"/>
      <c r="M14" s="2081"/>
      <c r="N14" s="2081"/>
      <c r="O14" s="2081"/>
      <c r="P14" s="2081"/>
      <c r="Q14" s="2081"/>
      <c r="R14" s="2081"/>
      <c r="S14" s="2081"/>
      <c r="T14" s="2081"/>
      <c r="U14" s="2081"/>
    </row>
    <row r="15" spans="1:21" x14ac:dyDescent="0.35">
      <c r="A15" s="2085"/>
      <c r="B15" s="695">
        <v>0</v>
      </c>
      <c r="C15" s="2086" t="s">
        <v>640</v>
      </c>
      <c r="D15" s="2086" t="s">
        <v>435</v>
      </c>
      <c r="E15" s="2086" t="s">
        <v>640</v>
      </c>
      <c r="F15" s="696">
        <v>0</v>
      </c>
      <c r="G15" s="2081"/>
      <c r="H15" s="2081"/>
      <c r="I15" s="2081"/>
      <c r="J15" s="2081"/>
      <c r="K15" s="2081"/>
      <c r="L15" s="2081"/>
      <c r="M15" s="2081"/>
      <c r="N15" s="2081"/>
      <c r="O15" s="2081"/>
      <c r="P15" s="2081"/>
      <c r="Q15" s="2081"/>
      <c r="R15" s="2081"/>
      <c r="S15" s="2081"/>
      <c r="T15" s="2081"/>
      <c r="U15" s="2081"/>
    </row>
    <row r="16" spans="1:21" x14ac:dyDescent="0.35">
      <c r="A16" s="2085"/>
      <c r="B16" s="695">
        <v>0</v>
      </c>
      <c r="C16" s="2086" t="s">
        <v>640</v>
      </c>
      <c r="D16" s="2086" t="s">
        <v>435</v>
      </c>
      <c r="E16" s="2086" t="s">
        <v>640</v>
      </c>
      <c r="F16" s="696">
        <v>0</v>
      </c>
      <c r="G16" s="2081"/>
      <c r="H16" s="2081"/>
      <c r="I16" s="2081"/>
      <c r="J16" s="2081"/>
      <c r="K16" s="2081"/>
      <c r="L16" s="2081"/>
      <c r="M16" s="2081"/>
      <c r="N16" s="2081"/>
      <c r="O16" s="2081"/>
      <c r="P16" s="2081"/>
      <c r="Q16" s="2081"/>
      <c r="R16" s="2081"/>
      <c r="S16" s="2081"/>
      <c r="T16" s="2081"/>
      <c r="U16" s="2081"/>
    </row>
    <row r="17" spans="1:6" x14ac:dyDescent="0.35">
      <c r="A17" s="2085"/>
      <c r="B17" s="695">
        <v>0</v>
      </c>
      <c r="C17" s="2086" t="s">
        <v>640</v>
      </c>
      <c r="D17" s="2086" t="s">
        <v>435</v>
      </c>
      <c r="E17" s="2086" t="s">
        <v>640</v>
      </c>
      <c r="F17" s="696">
        <v>0</v>
      </c>
    </row>
    <row r="18" spans="1:6" x14ac:dyDescent="0.35">
      <c r="A18" s="2085"/>
      <c r="B18" s="695">
        <v>0</v>
      </c>
      <c r="C18" s="2086" t="s">
        <v>640</v>
      </c>
      <c r="D18" s="2086" t="s">
        <v>435</v>
      </c>
      <c r="E18" s="2086" t="s">
        <v>640</v>
      </c>
      <c r="F18" s="696">
        <v>0</v>
      </c>
    </row>
    <row r="19" spans="1:6" x14ac:dyDescent="0.35">
      <c r="A19" s="2085"/>
      <c r="B19" s="695">
        <v>0</v>
      </c>
      <c r="C19" s="2086" t="s">
        <v>640</v>
      </c>
      <c r="D19" s="2086" t="s">
        <v>435</v>
      </c>
      <c r="E19" s="2086" t="s">
        <v>640</v>
      </c>
      <c r="F19" s="696">
        <v>0</v>
      </c>
    </row>
    <row r="20" spans="1:6" x14ac:dyDescent="0.35">
      <c r="A20" s="2085"/>
      <c r="B20" s="695">
        <v>0</v>
      </c>
      <c r="C20" s="2086" t="s">
        <v>640</v>
      </c>
      <c r="D20" s="2086" t="s">
        <v>435</v>
      </c>
      <c r="E20" s="2086" t="s">
        <v>640</v>
      </c>
      <c r="F20" s="696">
        <v>0</v>
      </c>
    </row>
    <row r="21" spans="1:6" x14ac:dyDescent="0.35">
      <c r="A21" s="2085"/>
      <c r="B21" s="695">
        <v>0</v>
      </c>
      <c r="C21" s="2086" t="s">
        <v>640</v>
      </c>
      <c r="D21" s="2086" t="s">
        <v>435</v>
      </c>
      <c r="E21" s="2086" t="s">
        <v>640</v>
      </c>
      <c r="F21" s="696">
        <v>0</v>
      </c>
    </row>
    <row r="22" spans="1:6" x14ac:dyDescent="0.35">
      <c r="A22" s="2085"/>
      <c r="B22" s="695">
        <v>0</v>
      </c>
      <c r="C22" s="2086" t="s">
        <v>640</v>
      </c>
      <c r="D22" s="2086" t="s">
        <v>435</v>
      </c>
      <c r="E22" s="2086" t="s">
        <v>640</v>
      </c>
      <c r="F22" s="696">
        <v>0</v>
      </c>
    </row>
    <row r="23" spans="1:6" x14ac:dyDescent="0.35">
      <c r="A23" s="2085"/>
      <c r="B23" s="695">
        <v>0</v>
      </c>
      <c r="C23" s="2086" t="s">
        <v>640</v>
      </c>
      <c r="D23" s="2086" t="s">
        <v>435</v>
      </c>
      <c r="E23" s="2086" t="s">
        <v>640</v>
      </c>
      <c r="F23" s="696">
        <v>0</v>
      </c>
    </row>
    <row r="24" spans="1:6" x14ac:dyDescent="0.35">
      <c r="A24" s="2085"/>
      <c r="B24" s="695">
        <v>0</v>
      </c>
      <c r="C24" s="2086" t="s">
        <v>640</v>
      </c>
      <c r="D24" s="2086" t="s">
        <v>435</v>
      </c>
      <c r="E24" s="2086" t="s">
        <v>640</v>
      </c>
      <c r="F24" s="696">
        <v>0</v>
      </c>
    </row>
    <row r="25" spans="1:6" x14ac:dyDescent="0.35">
      <c r="A25" s="2085"/>
      <c r="B25" s="695">
        <v>0</v>
      </c>
      <c r="C25" s="2086" t="s">
        <v>640</v>
      </c>
      <c r="D25" s="2086" t="s">
        <v>435</v>
      </c>
      <c r="E25" s="2086" t="s">
        <v>640</v>
      </c>
      <c r="F25" s="696">
        <v>0</v>
      </c>
    </row>
    <row r="26" spans="1:6" x14ac:dyDescent="0.35">
      <c r="A26" s="2085"/>
      <c r="B26" s="695">
        <v>0</v>
      </c>
      <c r="C26" s="2086" t="s">
        <v>640</v>
      </c>
      <c r="D26" s="2086" t="s">
        <v>435</v>
      </c>
      <c r="E26" s="2086" t="s">
        <v>640</v>
      </c>
      <c r="F26" s="696">
        <v>0</v>
      </c>
    </row>
    <row r="27" spans="1:6" x14ac:dyDescent="0.35">
      <c r="A27" s="2085"/>
      <c r="B27" s="695">
        <v>0</v>
      </c>
      <c r="C27" s="2086" t="s">
        <v>640</v>
      </c>
      <c r="D27" s="2086" t="s">
        <v>435</v>
      </c>
      <c r="E27" s="2086" t="s">
        <v>640</v>
      </c>
      <c r="F27" s="696">
        <v>0</v>
      </c>
    </row>
    <row r="28" spans="1:6" ht="15" thickBot="1" x14ac:dyDescent="0.4">
      <c r="A28" s="2087"/>
      <c r="B28" s="698">
        <v>0</v>
      </c>
      <c r="C28" s="2088" t="s">
        <v>640</v>
      </c>
      <c r="D28" s="2088" t="s">
        <v>435</v>
      </c>
      <c r="E28" s="2088" t="s">
        <v>640</v>
      </c>
      <c r="F28" s="699">
        <v>0</v>
      </c>
    </row>
    <row r="29" spans="1:6" ht="15" thickBot="1" x14ac:dyDescent="0.4">
      <c r="A29" s="700" t="s">
        <v>470</v>
      </c>
      <c r="B29" s="701">
        <f>SUM(B6:B28)</f>
        <v>0</v>
      </c>
      <c r="C29" s="702"/>
      <c r="D29" s="702"/>
      <c r="E29" s="2089"/>
      <c r="F29" s="703">
        <f>SUM(F6:F28)</f>
        <v>0</v>
      </c>
    </row>
    <row r="30" spans="1:6" ht="15" thickBot="1" x14ac:dyDescent="0.4">
      <c r="A30" s="2090"/>
      <c r="B30" s="2090"/>
      <c r="C30" s="2090"/>
      <c r="D30" s="704"/>
      <c r="E30" s="2081"/>
      <c r="F30" s="2081"/>
    </row>
    <row r="31" spans="1:6" ht="15" thickBot="1" x14ac:dyDescent="0.4">
      <c r="A31" s="1587" t="s">
        <v>790</v>
      </c>
      <c r="B31" s="1588"/>
      <c r="C31" s="1588"/>
      <c r="D31" s="1588"/>
      <c r="E31" s="1589"/>
      <c r="F31" s="1590"/>
    </row>
    <row r="32" spans="1:6" ht="16.5" x14ac:dyDescent="0.35">
      <c r="A32" s="2091" t="s">
        <v>791</v>
      </c>
      <c r="B32" s="2092"/>
      <c r="C32" s="2092"/>
      <c r="D32" s="2092"/>
      <c r="E32" s="2093"/>
      <c r="F32" s="2094"/>
    </row>
    <row r="33" spans="1:6" ht="16.5" x14ac:dyDescent="0.35">
      <c r="A33" s="2095" t="s">
        <v>792</v>
      </c>
      <c r="B33" s="2096"/>
      <c r="C33" s="2096"/>
      <c r="D33" s="2096"/>
      <c r="E33" s="2097"/>
      <c r="F33" s="2098"/>
    </row>
    <row r="34" spans="1:6" ht="33.65" customHeight="1" x14ac:dyDescent="0.35">
      <c r="A34" s="2283" t="s">
        <v>793</v>
      </c>
      <c r="B34" s="2284"/>
      <c r="C34" s="2284"/>
      <c r="D34" s="2284"/>
      <c r="E34" s="2284"/>
      <c r="F34" s="2285"/>
    </row>
    <row r="35" spans="1:6" ht="66.650000000000006" customHeight="1" x14ac:dyDescent="0.35">
      <c r="A35" s="2286" t="s">
        <v>794</v>
      </c>
      <c r="B35" s="2287"/>
      <c r="C35" s="2287"/>
      <c r="D35" s="2287"/>
      <c r="E35" s="2287"/>
      <c r="F35" s="2288"/>
    </row>
  </sheetData>
  <mergeCells count="2">
    <mergeCell ref="A34:F34"/>
    <mergeCell ref="A35:F35"/>
  </mergeCells>
  <dataValidations count="3">
    <dataValidation type="list" allowBlank="1" showInputMessage="1" showErrorMessage="1" sqref="C6:C28" xr:uid="{82F55F7F-1AC8-432B-83D8-6930540B8962}">
      <formula1>"Select One,Employees,Network,Both"</formula1>
    </dataValidation>
    <dataValidation type="list" allowBlank="1" showInputMessage="1" showErrorMessage="1" sqref="D6:D28" xr:uid="{73B32058-7A60-4708-8601-CDCE3DF39693}">
      <formula1>"Select Yes/No,Yes,No"</formula1>
    </dataValidation>
    <dataValidation type="list" allowBlank="1" showInputMessage="1" showErrorMessage="1" sqref="E6:E28" xr:uid="{66F38A66-67D7-42E2-8AB1-A416A92C9109}">
      <formula1>"Select One, Sub-Capitated,Block Purchase,Both"</formula1>
    </dataValidation>
  </dataValidation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D572F-708D-4752-8E1C-7AF9FE4BAAFB}">
  <sheetPr>
    <pageSetUpPr fitToPage="1"/>
  </sheetPr>
  <dimension ref="A1:F72"/>
  <sheetViews>
    <sheetView showGridLines="0" zoomScaleNormal="100" zoomScaleSheetLayoutView="75" workbookViewId="0">
      <pane xSplit="2" ySplit="6" topLeftCell="C7" activePane="bottomRight" state="frozen"/>
      <selection pane="topRight" activeCell="E57" sqref="E57"/>
      <selection pane="bottomLeft" activeCell="E57" sqref="E57"/>
      <selection pane="bottomRight" activeCell="F4" sqref="F4:F6"/>
    </sheetView>
  </sheetViews>
  <sheetFormatPr defaultColWidth="9.1796875" defaultRowHeight="14.5" x14ac:dyDescent="0.35"/>
  <cols>
    <col min="1" max="1" width="21.81640625" style="21" bestFit="1" customWidth="1"/>
    <col min="2" max="2" width="67.81640625" style="21" customWidth="1"/>
    <col min="3" max="6" width="20.7265625" style="647" customWidth="1"/>
    <col min="7" max="16384" width="9.1796875" style="21"/>
  </cols>
  <sheetData>
    <row r="1" spans="1:6" ht="15" thickBot="1" x14ac:dyDescent="0.4">
      <c r="A1" s="1514" t="s">
        <v>795</v>
      </c>
      <c r="B1" s="1441"/>
      <c r="C1" s="1447"/>
      <c r="D1" s="1447"/>
      <c r="E1" s="1447"/>
      <c r="F1" s="1448"/>
    </row>
    <row r="2" spans="1:6" x14ac:dyDescent="0.35">
      <c r="A2" s="597" t="s">
        <v>45</v>
      </c>
      <c r="B2" s="23" t="str">
        <f>'FS-Balance Sheet 3.04'!B4</f>
        <v>Select Contractor Name</v>
      </c>
    </row>
    <row r="3" spans="1:6" ht="15" thickBot="1" x14ac:dyDescent="0.4">
      <c r="A3" s="597" t="s">
        <v>708</v>
      </c>
      <c r="B3" s="40" t="str">
        <f>'FS-Balance Sheet 3.04'!B5</f>
        <v>mm/dd/yyyy</v>
      </c>
    </row>
    <row r="4" spans="1:6" x14ac:dyDescent="0.35">
      <c r="A4" s="11"/>
      <c r="C4" s="1475" t="s">
        <v>796</v>
      </c>
      <c r="D4" s="1475" t="s">
        <v>796</v>
      </c>
      <c r="E4" s="1475" t="s">
        <v>796</v>
      </c>
      <c r="F4" s="2289" t="s">
        <v>797</v>
      </c>
    </row>
    <row r="5" spans="1:6" x14ac:dyDescent="0.35">
      <c r="A5" s="648"/>
      <c r="C5" s="1591" t="s">
        <v>798</v>
      </c>
      <c r="D5" s="1591" t="s">
        <v>798</v>
      </c>
      <c r="E5" s="1591" t="s">
        <v>798</v>
      </c>
      <c r="F5" s="2290"/>
    </row>
    <row r="6" spans="1:6" ht="15" thickBot="1" x14ac:dyDescent="0.4">
      <c r="A6" s="648"/>
      <c r="C6" s="1578" t="str">
        <f>"Contract Year "&amp;YEAR('Instruction &amp; Audit Report B '!$C$23)-3</f>
        <v>Contract Year 2022</v>
      </c>
      <c r="D6" s="1578" t="str">
        <f>"Contract Year "&amp;YEAR('Instruction &amp; Audit Report B '!$C$23)-2</f>
        <v>Contract Year 2023</v>
      </c>
      <c r="E6" s="1578" t="str">
        <f>"Contract Year "&amp;YEAR('Instruction &amp; Audit Report B '!$C$23)-1</f>
        <v>Contract Year 2024</v>
      </c>
      <c r="F6" s="2291"/>
    </row>
    <row r="7" spans="1:6" x14ac:dyDescent="0.35">
      <c r="A7" s="649"/>
      <c r="B7" s="650" t="s">
        <v>80</v>
      </c>
      <c r="C7" s="651"/>
      <c r="D7" s="651"/>
      <c r="E7" s="652"/>
      <c r="F7" s="653"/>
    </row>
    <row r="8" spans="1:6" x14ac:dyDescent="0.35">
      <c r="A8" s="654"/>
      <c r="B8" s="655" t="s">
        <v>81</v>
      </c>
      <c r="C8" s="656"/>
      <c r="D8" s="656"/>
      <c r="E8" s="657"/>
      <c r="F8" s="658"/>
    </row>
    <row r="9" spans="1:6" x14ac:dyDescent="0.35">
      <c r="A9" s="27"/>
      <c r="B9" s="659" t="s">
        <v>82</v>
      </c>
      <c r="C9" s="656"/>
      <c r="D9" s="656"/>
      <c r="E9" s="657"/>
      <c r="F9" s="658"/>
    </row>
    <row r="10" spans="1:6" x14ac:dyDescent="0.35">
      <c r="A10" s="660" t="s">
        <v>83</v>
      </c>
      <c r="B10" s="659" t="s">
        <v>84</v>
      </c>
      <c r="C10" s="661">
        <v>0</v>
      </c>
      <c r="D10" s="661">
        <v>0</v>
      </c>
      <c r="E10" s="661">
        <v>0</v>
      </c>
      <c r="F10" s="658">
        <f>SUM(C10:E10)</f>
        <v>0</v>
      </c>
    </row>
    <row r="11" spans="1:6" x14ac:dyDescent="0.35">
      <c r="A11" s="660" t="s">
        <v>85</v>
      </c>
      <c r="B11" s="659" t="s">
        <v>86</v>
      </c>
      <c r="C11" s="661">
        <v>0</v>
      </c>
      <c r="D11" s="661">
        <v>0</v>
      </c>
      <c r="E11" s="661">
        <v>0</v>
      </c>
      <c r="F11" s="658">
        <f t="shared" ref="F11:F18" si="0">SUM(C11:E11)</f>
        <v>0</v>
      </c>
    </row>
    <row r="12" spans="1:6" x14ac:dyDescent="0.35">
      <c r="A12" s="662" t="s">
        <v>87</v>
      </c>
      <c r="B12" s="663" t="s">
        <v>88</v>
      </c>
      <c r="C12" s="661">
        <v>0</v>
      </c>
      <c r="D12" s="661">
        <v>0</v>
      </c>
      <c r="E12" s="661">
        <v>0</v>
      </c>
      <c r="F12" s="658">
        <f t="shared" si="0"/>
        <v>0</v>
      </c>
    </row>
    <row r="13" spans="1:6" x14ac:dyDescent="0.35">
      <c r="A13" s="660" t="s">
        <v>89</v>
      </c>
      <c r="B13" s="664" t="s">
        <v>90</v>
      </c>
      <c r="C13" s="661">
        <v>0</v>
      </c>
      <c r="D13" s="661">
        <v>0</v>
      </c>
      <c r="E13" s="661">
        <v>0</v>
      </c>
      <c r="F13" s="658">
        <f t="shared" si="0"/>
        <v>0</v>
      </c>
    </row>
    <row r="14" spans="1:6" x14ac:dyDescent="0.35">
      <c r="A14" s="660" t="s">
        <v>91</v>
      </c>
      <c r="B14" s="664" t="s">
        <v>92</v>
      </c>
      <c r="C14" s="661">
        <v>0</v>
      </c>
      <c r="D14" s="661">
        <v>0</v>
      </c>
      <c r="E14" s="661">
        <v>0</v>
      </c>
      <c r="F14" s="658">
        <f t="shared" si="0"/>
        <v>0</v>
      </c>
    </row>
    <row r="15" spans="1:6" x14ac:dyDescent="0.35">
      <c r="A15" s="660" t="s">
        <v>93</v>
      </c>
      <c r="B15" s="659" t="s">
        <v>94</v>
      </c>
      <c r="C15" s="661">
        <v>0</v>
      </c>
      <c r="D15" s="661">
        <v>0</v>
      </c>
      <c r="E15" s="661">
        <v>0</v>
      </c>
      <c r="F15" s="658">
        <f t="shared" si="0"/>
        <v>0</v>
      </c>
    </row>
    <row r="16" spans="1:6" x14ac:dyDescent="0.35">
      <c r="A16" s="660" t="s">
        <v>95</v>
      </c>
      <c r="B16" s="659" t="s">
        <v>96</v>
      </c>
      <c r="C16" s="661">
        <v>0</v>
      </c>
      <c r="D16" s="661">
        <v>0</v>
      </c>
      <c r="E16" s="661">
        <v>0</v>
      </c>
      <c r="F16" s="658">
        <f t="shared" si="0"/>
        <v>0</v>
      </c>
    </row>
    <row r="17" spans="1:6" x14ac:dyDescent="0.35">
      <c r="A17" s="660" t="s">
        <v>97</v>
      </c>
      <c r="B17" s="659" t="s">
        <v>98</v>
      </c>
      <c r="C17" s="661">
        <v>0</v>
      </c>
      <c r="D17" s="661">
        <v>0</v>
      </c>
      <c r="E17" s="661">
        <v>0</v>
      </c>
      <c r="F17" s="658">
        <f t="shared" si="0"/>
        <v>0</v>
      </c>
    </row>
    <row r="18" spans="1:6" ht="15" thickBot="1" x14ac:dyDescent="0.4">
      <c r="A18" s="660" t="s">
        <v>99</v>
      </c>
      <c r="B18" s="659" t="s">
        <v>100</v>
      </c>
      <c r="C18" s="661">
        <v>0</v>
      </c>
      <c r="D18" s="661">
        <v>0</v>
      </c>
      <c r="E18" s="661">
        <v>0</v>
      </c>
      <c r="F18" s="658">
        <f t="shared" si="0"/>
        <v>0</v>
      </c>
    </row>
    <row r="19" spans="1:6" ht="15" thickBot="1" x14ac:dyDescent="0.4">
      <c r="A19" s="665">
        <v>10199</v>
      </c>
      <c r="B19" s="666" t="s">
        <v>101</v>
      </c>
      <c r="C19" s="667">
        <f>SUM(C10:C18)</f>
        <v>0</v>
      </c>
      <c r="D19" s="667">
        <f>SUM(D10:D18)</f>
        <v>0</v>
      </c>
      <c r="E19" s="668">
        <f>SUM(E10:E18)</f>
        <v>0</v>
      </c>
      <c r="F19" s="668">
        <f>SUM(F10:F18)</f>
        <v>0</v>
      </c>
    </row>
    <row r="20" spans="1:6" x14ac:dyDescent="0.35">
      <c r="A20" s="27"/>
      <c r="B20" s="659" t="s">
        <v>60</v>
      </c>
      <c r="C20" s="656"/>
      <c r="D20" s="656"/>
      <c r="E20" s="657"/>
      <c r="F20" s="658"/>
    </row>
    <row r="21" spans="1:6" x14ac:dyDescent="0.35">
      <c r="A21" s="660" t="s">
        <v>102</v>
      </c>
      <c r="B21" s="659" t="s">
        <v>103</v>
      </c>
      <c r="C21" s="661">
        <v>0</v>
      </c>
      <c r="D21" s="661">
        <v>0</v>
      </c>
      <c r="E21" s="661">
        <v>0</v>
      </c>
      <c r="F21" s="658">
        <f t="shared" ref="F21:F25" si="1">SUM(C21:E21)</f>
        <v>0</v>
      </c>
    </row>
    <row r="22" spans="1:6" x14ac:dyDescent="0.35">
      <c r="A22" s="660" t="s">
        <v>104</v>
      </c>
      <c r="B22" s="659" t="s">
        <v>105</v>
      </c>
      <c r="C22" s="661">
        <v>0</v>
      </c>
      <c r="D22" s="661">
        <v>0</v>
      </c>
      <c r="E22" s="661">
        <v>0</v>
      </c>
      <c r="F22" s="658">
        <f t="shared" si="1"/>
        <v>0</v>
      </c>
    </row>
    <row r="23" spans="1:6" x14ac:dyDescent="0.35">
      <c r="A23" s="660" t="s">
        <v>106</v>
      </c>
      <c r="B23" s="659" t="s">
        <v>107</v>
      </c>
      <c r="C23" s="661">
        <v>0</v>
      </c>
      <c r="D23" s="661">
        <v>0</v>
      </c>
      <c r="E23" s="661">
        <v>0</v>
      </c>
      <c r="F23" s="658">
        <f t="shared" si="1"/>
        <v>0</v>
      </c>
    </row>
    <row r="24" spans="1:6" x14ac:dyDescent="0.35">
      <c r="A24" s="660" t="s">
        <v>108</v>
      </c>
      <c r="B24" s="659" t="s">
        <v>109</v>
      </c>
      <c r="C24" s="661">
        <v>0</v>
      </c>
      <c r="D24" s="661">
        <v>0</v>
      </c>
      <c r="E24" s="661">
        <v>0</v>
      </c>
      <c r="F24" s="658">
        <f t="shared" si="1"/>
        <v>0</v>
      </c>
    </row>
    <row r="25" spans="1:6" ht="15" thickBot="1" x14ac:dyDescent="0.4">
      <c r="A25" s="660" t="s">
        <v>110</v>
      </c>
      <c r="B25" s="659" t="s">
        <v>111</v>
      </c>
      <c r="C25" s="661">
        <v>0</v>
      </c>
      <c r="D25" s="661">
        <v>0</v>
      </c>
      <c r="E25" s="661">
        <v>0</v>
      </c>
      <c r="F25" s="658">
        <f t="shared" si="1"/>
        <v>0</v>
      </c>
    </row>
    <row r="26" spans="1:6" ht="15" thickBot="1" x14ac:dyDescent="0.4">
      <c r="A26" s="669">
        <v>10299</v>
      </c>
      <c r="B26" s="666" t="s">
        <v>112</v>
      </c>
      <c r="C26" s="667">
        <f>SUM(C21:C25)</f>
        <v>0</v>
      </c>
      <c r="D26" s="667">
        <f>SUM(D21:D25)</f>
        <v>0</v>
      </c>
      <c r="E26" s="667">
        <f>SUM(E21:E25)</f>
        <v>0</v>
      </c>
      <c r="F26" s="668">
        <f>SUM(F21:F25)</f>
        <v>0</v>
      </c>
    </row>
    <row r="27" spans="1:6" x14ac:dyDescent="0.35">
      <c r="A27" s="27"/>
      <c r="B27" s="659" t="s">
        <v>113</v>
      </c>
      <c r="C27" s="656"/>
      <c r="D27" s="656"/>
      <c r="E27" s="657"/>
      <c r="F27" s="658"/>
    </row>
    <row r="28" spans="1:6" x14ac:dyDescent="0.35">
      <c r="A28" s="660" t="s">
        <v>114</v>
      </c>
      <c r="B28" s="659" t="s">
        <v>115</v>
      </c>
      <c r="C28" s="661">
        <v>0</v>
      </c>
      <c r="D28" s="661">
        <v>0</v>
      </c>
      <c r="E28" s="661">
        <v>0</v>
      </c>
      <c r="F28" s="658">
        <f t="shared" ref="F28:F32" si="2">SUM(C28:E28)</f>
        <v>0</v>
      </c>
    </row>
    <row r="29" spans="1:6" x14ac:dyDescent="0.35">
      <c r="A29" s="660" t="s">
        <v>116</v>
      </c>
      <c r="B29" s="659" t="s">
        <v>117</v>
      </c>
      <c r="C29" s="661">
        <v>0</v>
      </c>
      <c r="D29" s="661">
        <v>0</v>
      </c>
      <c r="E29" s="661">
        <v>0</v>
      </c>
      <c r="F29" s="658">
        <f t="shared" si="2"/>
        <v>0</v>
      </c>
    </row>
    <row r="30" spans="1:6" x14ac:dyDescent="0.35">
      <c r="A30" s="660" t="s">
        <v>118</v>
      </c>
      <c r="B30" s="659" t="s">
        <v>119</v>
      </c>
      <c r="C30" s="661">
        <v>0</v>
      </c>
      <c r="D30" s="661">
        <v>0</v>
      </c>
      <c r="E30" s="661">
        <v>0</v>
      </c>
      <c r="F30" s="658">
        <f t="shared" si="2"/>
        <v>0</v>
      </c>
    </row>
    <row r="31" spans="1:6" x14ac:dyDescent="0.35">
      <c r="A31" s="660" t="s">
        <v>120</v>
      </c>
      <c r="B31" s="659" t="s">
        <v>121</v>
      </c>
      <c r="C31" s="661">
        <v>0</v>
      </c>
      <c r="D31" s="661">
        <v>0</v>
      </c>
      <c r="E31" s="661">
        <v>0</v>
      </c>
      <c r="F31" s="658">
        <f t="shared" si="2"/>
        <v>0</v>
      </c>
    </row>
    <row r="32" spans="1:6" x14ac:dyDescent="0.35">
      <c r="A32" s="660" t="s">
        <v>122</v>
      </c>
      <c r="B32" s="659" t="s">
        <v>123</v>
      </c>
      <c r="C32" s="661">
        <v>0</v>
      </c>
      <c r="D32" s="661">
        <v>0</v>
      </c>
      <c r="E32" s="661">
        <v>0</v>
      </c>
      <c r="F32" s="658">
        <f t="shared" si="2"/>
        <v>0</v>
      </c>
    </row>
    <row r="33" spans="1:6" x14ac:dyDescent="0.35">
      <c r="A33" s="670" t="s">
        <v>124</v>
      </c>
      <c r="B33" s="659" t="s">
        <v>125</v>
      </c>
      <c r="C33" s="671">
        <f>SUM(C28:C32)</f>
        <v>0</v>
      </c>
      <c r="D33" s="671">
        <f>SUM(D28:D32)</f>
        <v>0</v>
      </c>
      <c r="E33" s="671">
        <f>SUM(E28:E32)</f>
        <v>0</v>
      </c>
      <c r="F33" s="672">
        <f>SUM(F28:F32)</f>
        <v>0</v>
      </c>
    </row>
    <row r="34" spans="1:6" ht="15" thickBot="1" x14ac:dyDescent="0.4">
      <c r="A34" s="660" t="s">
        <v>126</v>
      </c>
      <c r="B34" s="673" t="s">
        <v>127</v>
      </c>
      <c r="C34" s="661">
        <v>0</v>
      </c>
      <c r="D34" s="661">
        <v>0</v>
      </c>
      <c r="E34" s="661">
        <v>0</v>
      </c>
      <c r="F34" s="658">
        <f>SUM(C34:E34)</f>
        <v>0</v>
      </c>
    </row>
    <row r="35" spans="1:6" ht="15" thickBot="1" x14ac:dyDescent="0.4">
      <c r="A35" s="669">
        <v>10399</v>
      </c>
      <c r="B35" s="666" t="s">
        <v>128</v>
      </c>
      <c r="C35" s="667">
        <f>C33+C34</f>
        <v>0</v>
      </c>
      <c r="D35" s="667">
        <f>D33+D34</f>
        <v>0</v>
      </c>
      <c r="E35" s="667">
        <f>E33+E34</f>
        <v>0</v>
      </c>
      <c r="F35" s="668">
        <f>F33+F34</f>
        <v>0</v>
      </c>
    </row>
    <row r="36" spans="1:6" ht="15" thickBot="1" x14ac:dyDescent="0.4">
      <c r="A36" s="27"/>
      <c r="B36" s="11"/>
      <c r="C36" s="656"/>
      <c r="D36" s="656"/>
      <c r="E36" s="656"/>
      <c r="F36" s="658"/>
    </row>
    <row r="37" spans="1:6" ht="15" thickBot="1" x14ac:dyDescent="0.4">
      <c r="A37" s="669">
        <v>19999</v>
      </c>
      <c r="B37" s="666" t="s">
        <v>129</v>
      </c>
      <c r="C37" s="667">
        <f>C19+C26+C35</f>
        <v>0</v>
      </c>
      <c r="D37" s="667">
        <f>D19+D26+D35</f>
        <v>0</v>
      </c>
      <c r="E37" s="668">
        <f>E19+E26+E35</f>
        <v>0</v>
      </c>
      <c r="F37" s="668">
        <f>F19+F26+F35</f>
        <v>0</v>
      </c>
    </row>
    <row r="38" spans="1:6" x14ac:dyDescent="0.35">
      <c r="A38" s="27"/>
      <c r="B38" s="674" t="s">
        <v>130</v>
      </c>
      <c r="C38" s="656"/>
      <c r="D38" s="656"/>
      <c r="E38" s="657"/>
      <c r="F38" s="658"/>
    </row>
    <row r="39" spans="1:6" x14ac:dyDescent="0.35">
      <c r="A39" s="27"/>
      <c r="B39" s="659" t="s">
        <v>131</v>
      </c>
      <c r="C39" s="656"/>
      <c r="D39" s="656"/>
      <c r="E39" s="657"/>
      <c r="F39" s="658"/>
    </row>
    <row r="40" spans="1:6" x14ac:dyDescent="0.35">
      <c r="A40" s="660" t="s">
        <v>132</v>
      </c>
      <c r="B40" s="659" t="s">
        <v>133</v>
      </c>
      <c r="C40" s="661">
        <v>0</v>
      </c>
      <c r="D40" s="661">
        <v>0</v>
      </c>
      <c r="E40" s="661">
        <v>0</v>
      </c>
      <c r="F40" s="658">
        <f t="shared" ref="F40:F43" si="3">SUM(C40:E40)</f>
        <v>0</v>
      </c>
    </row>
    <row r="41" spans="1:6" x14ac:dyDescent="0.35">
      <c r="A41" s="660" t="s">
        <v>134</v>
      </c>
      <c r="B41" s="659" t="s">
        <v>135</v>
      </c>
      <c r="C41" s="661">
        <v>0</v>
      </c>
      <c r="D41" s="661">
        <v>0</v>
      </c>
      <c r="E41" s="661">
        <v>0</v>
      </c>
      <c r="F41" s="658">
        <f t="shared" si="3"/>
        <v>0</v>
      </c>
    </row>
    <row r="42" spans="1:6" x14ac:dyDescent="0.35">
      <c r="A42" s="660" t="s">
        <v>136</v>
      </c>
      <c r="B42" s="659" t="s">
        <v>137</v>
      </c>
      <c r="C42" s="661">
        <v>0</v>
      </c>
      <c r="D42" s="661">
        <v>0</v>
      </c>
      <c r="E42" s="661">
        <v>0</v>
      </c>
      <c r="F42" s="658">
        <f t="shared" si="3"/>
        <v>0</v>
      </c>
    </row>
    <row r="43" spans="1:6" x14ac:dyDescent="0.35">
      <c r="A43" s="660" t="s">
        <v>138</v>
      </c>
      <c r="B43" s="659" t="s">
        <v>139</v>
      </c>
      <c r="C43" s="661">
        <v>0</v>
      </c>
      <c r="D43" s="661">
        <v>0</v>
      </c>
      <c r="E43" s="661">
        <v>0</v>
      </c>
      <c r="F43" s="658">
        <f t="shared" si="3"/>
        <v>0</v>
      </c>
    </row>
    <row r="44" spans="1:6" x14ac:dyDescent="0.35">
      <c r="A44" s="660" t="s">
        <v>140</v>
      </c>
      <c r="B44" s="659" t="s">
        <v>141</v>
      </c>
      <c r="C44" s="675">
        <f>C43</f>
        <v>0</v>
      </c>
      <c r="D44" s="675">
        <f>D43</f>
        <v>0</v>
      </c>
      <c r="E44" s="675">
        <f>E43</f>
        <v>0</v>
      </c>
      <c r="F44" s="672">
        <f>F43</f>
        <v>0</v>
      </c>
    </row>
    <row r="45" spans="1:6" x14ac:dyDescent="0.35">
      <c r="A45" s="660" t="s">
        <v>142</v>
      </c>
      <c r="B45" s="659" t="s">
        <v>143</v>
      </c>
      <c r="C45" s="661">
        <v>0</v>
      </c>
      <c r="D45" s="661">
        <v>0</v>
      </c>
      <c r="E45" s="661">
        <v>0</v>
      </c>
      <c r="F45" s="658">
        <f t="shared" ref="F45:F49" si="4">SUM(C45:E45)</f>
        <v>0</v>
      </c>
    </row>
    <row r="46" spans="1:6" x14ac:dyDescent="0.35">
      <c r="A46" s="660" t="s">
        <v>144</v>
      </c>
      <c r="B46" s="659" t="s">
        <v>145</v>
      </c>
      <c r="C46" s="661">
        <v>0</v>
      </c>
      <c r="D46" s="661">
        <v>0</v>
      </c>
      <c r="E46" s="661">
        <v>0</v>
      </c>
      <c r="F46" s="658">
        <f t="shared" si="4"/>
        <v>0</v>
      </c>
    </row>
    <row r="47" spans="1:6" x14ac:dyDescent="0.35">
      <c r="A47" s="660" t="s">
        <v>146</v>
      </c>
      <c r="B47" s="659" t="s">
        <v>147</v>
      </c>
      <c r="C47" s="661">
        <v>0</v>
      </c>
      <c r="D47" s="661">
        <v>0</v>
      </c>
      <c r="E47" s="661">
        <v>0</v>
      </c>
      <c r="F47" s="658">
        <f t="shared" si="4"/>
        <v>0</v>
      </c>
    </row>
    <row r="48" spans="1:6" x14ac:dyDescent="0.35">
      <c r="A48" s="660" t="s">
        <v>148</v>
      </c>
      <c r="B48" s="664" t="s">
        <v>149</v>
      </c>
      <c r="C48" s="661">
        <v>0</v>
      </c>
      <c r="D48" s="661">
        <v>0</v>
      </c>
      <c r="E48" s="661">
        <v>0</v>
      </c>
      <c r="F48" s="658">
        <f t="shared" si="4"/>
        <v>0</v>
      </c>
    </row>
    <row r="49" spans="1:6" ht="15" thickBot="1" x14ac:dyDescent="0.4">
      <c r="A49" s="660" t="s">
        <v>150</v>
      </c>
      <c r="B49" s="659" t="s">
        <v>151</v>
      </c>
      <c r="C49" s="661">
        <v>0</v>
      </c>
      <c r="D49" s="661">
        <v>0</v>
      </c>
      <c r="E49" s="661">
        <v>0</v>
      </c>
      <c r="F49" s="658">
        <f t="shared" si="4"/>
        <v>0</v>
      </c>
    </row>
    <row r="50" spans="1:6" ht="15" thickBot="1" x14ac:dyDescent="0.4">
      <c r="A50" s="665">
        <v>20199</v>
      </c>
      <c r="B50" s="666" t="s">
        <v>152</v>
      </c>
      <c r="C50" s="667">
        <f>SUM(C40:C42)+SUM(C44:C49)</f>
        <v>0</v>
      </c>
      <c r="D50" s="667">
        <f>SUM(D40:D42)+SUM(D44:D49)</f>
        <v>0</v>
      </c>
      <c r="E50" s="667">
        <f>SUM(E40:E42)+SUM(E44:E49)</f>
        <v>0</v>
      </c>
      <c r="F50" s="668">
        <f>SUM(F40:F42)+SUM(F44:F49)</f>
        <v>0</v>
      </c>
    </row>
    <row r="51" spans="1:6" x14ac:dyDescent="0.35">
      <c r="A51" s="27"/>
      <c r="B51" s="659" t="s">
        <v>62</v>
      </c>
      <c r="C51" s="656"/>
      <c r="D51" s="656"/>
      <c r="E51" s="657"/>
      <c r="F51" s="658"/>
    </row>
    <row r="52" spans="1:6" x14ac:dyDescent="0.35">
      <c r="A52" s="660" t="s">
        <v>153</v>
      </c>
      <c r="B52" s="664" t="s">
        <v>154</v>
      </c>
      <c r="C52" s="661">
        <v>0</v>
      </c>
      <c r="D52" s="661">
        <v>0</v>
      </c>
      <c r="E52" s="661">
        <v>0</v>
      </c>
      <c r="F52" s="658">
        <f t="shared" ref="F52:F54" si="5">SUM(C52:E52)</f>
        <v>0</v>
      </c>
    </row>
    <row r="53" spans="1:6" x14ac:dyDescent="0.35">
      <c r="A53" s="660" t="s">
        <v>155</v>
      </c>
      <c r="B53" s="664" t="s">
        <v>156</v>
      </c>
      <c r="C53" s="661">
        <v>0</v>
      </c>
      <c r="D53" s="661">
        <v>0</v>
      </c>
      <c r="E53" s="661">
        <v>0</v>
      </c>
      <c r="F53" s="658">
        <f t="shared" si="5"/>
        <v>0</v>
      </c>
    </row>
    <row r="54" spans="1:6" ht="15" thickBot="1" x14ac:dyDescent="0.4">
      <c r="A54" s="660" t="s">
        <v>157</v>
      </c>
      <c r="B54" s="659" t="s">
        <v>158</v>
      </c>
      <c r="C54" s="661">
        <v>0</v>
      </c>
      <c r="D54" s="661">
        <v>0</v>
      </c>
      <c r="E54" s="661">
        <v>0</v>
      </c>
      <c r="F54" s="658">
        <f t="shared" si="5"/>
        <v>0</v>
      </c>
    </row>
    <row r="55" spans="1:6" ht="15" thickBot="1" x14ac:dyDescent="0.4">
      <c r="A55" s="665">
        <v>20299</v>
      </c>
      <c r="B55" s="666" t="s">
        <v>159</v>
      </c>
      <c r="C55" s="667">
        <f>SUM(C52:C54)</f>
        <v>0</v>
      </c>
      <c r="D55" s="667">
        <f>SUM(D52:D54)</f>
        <v>0</v>
      </c>
      <c r="E55" s="668">
        <f>SUM(E52:E54)</f>
        <v>0</v>
      </c>
      <c r="F55" s="668">
        <f>SUM(F52:F54)</f>
        <v>0</v>
      </c>
    </row>
    <row r="56" spans="1:6" ht="15" thickBot="1" x14ac:dyDescent="0.4">
      <c r="A56" s="27"/>
      <c r="C56" s="656"/>
      <c r="D56" s="656"/>
      <c r="E56" s="657"/>
      <c r="F56" s="658"/>
    </row>
    <row r="57" spans="1:6" ht="15" thickBot="1" x14ac:dyDescent="0.4">
      <c r="A57" s="669">
        <v>29999</v>
      </c>
      <c r="B57" s="666" t="s">
        <v>160</v>
      </c>
      <c r="C57" s="667">
        <f>C50+C55</f>
        <v>0</v>
      </c>
      <c r="D57" s="667">
        <f>D50+D55</f>
        <v>0</v>
      </c>
      <c r="E57" s="668">
        <f>E50+E55</f>
        <v>0</v>
      </c>
      <c r="F57" s="668">
        <f>F50+F55</f>
        <v>0</v>
      </c>
    </row>
    <row r="58" spans="1:6" x14ac:dyDescent="0.35">
      <c r="A58" s="27"/>
      <c r="B58" s="674" t="s">
        <v>161</v>
      </c>
      <c r="C58" s="656"/>
      <c r="D58" s="656"/>
      <c r="E58" s="657"/>
      <c r="F58" s="658"/>
    </row>
    <row r="59" spans="1:6" x14ac:dyDescent="0.35">
      <c r="A59" s="660" t="s">
        <v>162</v>
      </c>
      <c r="B59" s="659" t="s">
        <v>163</v>
      </c>
      <c r="C59" s="661">
        <v>0</v>
      </c>
      <c r="D59" s="661">
        <v>0</v>
      </c>
      <c r="E59" s="661">
        <v>0</v>
      </c>
      <c r="F59" s="676">
        <f t="shared" ref="F59:F67" si="6">SUM(C59:E59)</f>
        <v>0</v>
      </c>
    </row>
    <row r="60" spans="1:6" x14ac:dyDescent="0.35">
      <c r="A60" s="660" t="s">
        <v>164</v>
      </c>
      <c r="B60" s="659" t="s">
        <v>165</v>
      </c>
      <c r="C60" s="661">
        <v>0</v>
      </c>
      <c r="D60" s="661">
        <v>0</v>
      </c>
      <c r="E60" s="661">
        <v>0</v>
      </c>
      <c r="F60" s="676">
        <f t="shared" si="6"/>
        <v>0</v>
      </c>
    </row>
    <row r="61" spans="1:6" x14ac:dyDescent="0.35">
      <c r="A61" s="660" t="s">
        <v>166</v>
      </c>
      <c r="B61" s="659" t="s">
        <v>167</v>
      </c>
      <c r="C61" s="661">
        <v>0</v>
      </c>
      <c r="D61" s="661">
        <v>0</v>
      </c>
      <c r="E61" s="661">
        <v>0</v>
      </c>
      <c r="F61" s="676">
        <f t="shared" si="6"/>
        <v>0</v>
      </c>
    </row>
    <row r="62" spans="1:6" x14ac:dyDescent="0.35">
      <c r="A62" s="660" t="s">
        <v>168</v>
      </c>
      <c r="B62" s="659" t="s">
        <v>169</v>
      </c>
      <c r="C62" s="661">
        <v>0</v>
      </c>
      <c r="D62" s="661">
        <v>0</v>
      </c>
      <c r="E62" s="661">
        <v>0</v>
      </c>
      <c r="F62" s="676">
        <f t="shared" si="6"/>
        <v>0</v>
      </c>
    </row>
    <row r="63" spans="1:6" x14ac:dyDescent="0.35">
      <c r="A63" s="660" t="s">
        <v>170</v>
      </c>
      <c r="B63" s="659" t="s">
        <v>171</v>
      </c>
      <c r="C63" s="661">
        <v>0</v>
      </c>
      <c r="D63" s="661">
        <v>0</v>
      </c>
      <c r="E63" s="661">
        <v>0</v>
      </c>
      <c r="F63" s="676">
        <f t="shared" si="6"/>
        <v>0</v>
      </c>
    </row>
    <row r="64" spans="1:6" x14ac:dyDescent="0.35">
      <c r="A64" s="660" t="s">
        <v>172</v>
      </c>
      <c r="B64" s="659" t="s">
        <v>173</v>
      </c>
      <c r="C64" s="661">
        <v>0</v>
      </c>
      <c r="D64" s="661">
        <v>0</v>
      </c>
      <c r="E64" s="661">
        <v>0</v>
      </c>
      <c r="F64" s="676">
        <f t="shared" si="6"/>
        <v>0</v>
      </c>
    </row>
    <row r="65" spans="1:6" x14ac:dyDescent="0.35">
      <c r="A65" s="670" t="s">
        <v>174</v>
      </c>
      <c r="B65" s="659" t="s">
        <v>175</v>
      </c>
      <c r="C65" s="661">
        <v>0</v>
      </c>
      <c r="D65" s="661">
        <v>0</v>
      </c>
      <c r="E65" s="661">
        <v>0</v>
      </c>
      <c r="F65" s="676">
        <f t="shared" si="6"/>
        <v>0</v>
      </c>
    </row>
    <row r="66" spans="1:6" x14ac:dyDescent="0.35">
      <c r="A66" s="670" t="s">
        <v>176</v>
      </c>
      <c r="B66" s="659" t="s">
        <v>177</v>
      </c>
      <c r="C66" s="661">
        <v>0</v>
      </c>
      <c r="D66" s="661">
        <v>0</v>
      </c>
      <c r="E66" s="661">
        <v>0</v>
      </c>
      <c r="F66" s="676">
        <f t="shared" si="6"/>
        <v>0</v>
      </c>
    </row>
    <row r="67" spans="1:6" x14ac:dyDescent="0.35">
      <c r="A67" s="670" t="s">
        <v>178</v>
      </c>
      <c r="B67" s="659" t="s">
        <v>179</v>
      </c>
      <c r="C67" s="677">
        <v>0</v>
      </c>
      <c r="D67" s="677">
        <v>0</v>
      </c>
      <c r="E67" s="677">
        <v>0</v>
      </c>
      <c r="F67" s="678">
        <f t="shared" si="6"/>
        <v>0</v>
      </c>
    </row>
    <row r="68" spans="1:6" x14ac:dyDescent="0.35">
      <c r="A68" s="660" t="s">
        <v>180</v>
      </c>
      <c r="B68" s="659" t="s">
        <v>181</v>
      </c>
      <c r="C68" s="675">
        <f>C65+C66+C67</f>
        <v>0</v>
      </c>
      <c r="D68" s="675">
        <f t="shared" ref="D68:E68" si="7">D65+D66+D67</f>
        <v>0</v>
      </c>
      <c r="E68" s="675">
        <f t="shared" si="7"/>
        <v>0</v>
      </c>
      <c r="F68" s="672">
        <f t="shared" ref="F68" si="8">F65+F66+F67</f>
        <v>0</v>
      </c>
    </row>
    <row r="69" spans="1:6" x14ac:dyDescent="0.35">
      <c r="A69" s="679" t="s">
        <v>182</v>
      </c>
      <c r="B69" s="680" t="s">
        <v>183</v>
      </c>
      <c r="C69" s="681">
        <v>0</v>
      </c>
      <c r="D69" s="681">
        <v>0</v>
      </c>
      <c r="E69" s="681">
        <v>0</v>
      </c>
      <c r="F69" s="658">
        <v>0</v>
      </c>
    </row>
    <row r="70" spans="1:6" ht="15" thickBot="1" x14ac:dyDescent="0.4">
      <c r="A70" s="679"/>
      <c r="B70" s="680"/>
      <c r="C70" s="657"/>
      <c r="D70" s="657"/>
      <c r="E70" s="657"/>
      <c r="F70" s="658"/>
    </row>
    <row r="71" spans="1:6" x14ac:dyDescent="0.35">
      <c r="A71" s="682">
        <v>39991</v>
      </c>
      <c r="B71" s="683" t="s">
        <v>184</v>
      </c>
      <c r="C71" s="684">
        <f>SUM(C59:C64)+C68+C69</f>
        <v>0</v>
      </c>
      <c r="D71" s="684">
        <f>SUM(D59:D64)+D68+D69</f>
        <v>0</v>
      </c>
      <c r="E71" s="684">
        <f t="shared" ref="E71:F71" si="9">SUM(E59:E64)+E68+E69</f>
        <v>0</v>
      </c>
      <c r="F71" s="685">
        <f t="shared" si="9"/>
        <v>0</v>
      </c>
    </row>
    <row r="72" spans="1:6" ht="15" thickBot="1" x14ac:dyDescent="0.4">
      <c r="A72" s="686">
        <v>39992</v>
      </c>
      <c r="B72" s="687" t="s">
        <v>185</v>
      </c>
      <c r="C72" s="688">
        <f>C57+C71</f>
        <v>0</v>
      </c>
      <c r="D72" s="688">
        <f>D57+D71</f>
        <v>0</v>
      </c>
      <c r="E72" s="689">
        <f>E57+E71</f>
        <v>0</v>
      </c>
      <c r="F72" s="689">
        <f>F57+F71</f>
        <v>0</v>
      </c>
    </row>
  </sheetData>
  <mergeCells count="1">
    <mergeCell ref="F4:F6"/>
  </mergeCells>
  <pageMargins left="0.22" right="0.17" top="0.3" bottom="1" header="0.17" footer="0.5"/>
  <pageSetup scale="75" orientation="portrait" r:id="rId1"/>
  <headerFooter alignWithMargins="0">
    <oddFooter>&amp;L&amp;Z&amp;F&amp;A</oddFooter>
  </headerFooter>
  <ignoredErrors>
    <ignoredError sqref="F33:F34 F44 F50" formula="1"/>
    <ignoredError sqref="C50:E50 C71:E71" formulaRange="1"/>
    <ignoredError sqref="F59:F67"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7E8C-2F18-47C5-A54E-088DA6AD2148}">
  <sheetPr>
    <pageSetUpPr fitToPage="1"/>
  </sheetPr>
  <dimension ref="A1:V135"/>
  <sheetViews>
    <sheetView showGridLines="0" zoomScaleNormal="100" zoomScaleSheetLayoutView="75" workbookViewId="0">
      <pane xSplit="2" ySplit="7" topLeftCell="C97" activePane="bottomRight" state="frozen"/>
      <selection pane="topRight" activeCell="C1" sqref="C1"/>
      <selection pane="bottomLeft" activeCell="A8" sqref="A8"/>
      <selection pane="bottomRight" activeCell="Q159" sqref="Q159"/>
    </sheetView>
  </sheetViews>
  <sheetFormatPr defaultColWidth="9.1796875" defaultRowHeight="14.5" x14ac:dyDescent="0.35"/>
  <cols>
    <col min="1" max="1" width="21.81640625" style="21" bestFit="1" customWidth="1"/>
    <col min="2" max="2" width="61.81640625" style="21" customWidth="1"/>
    <col min="3" max="6" width="20.1796875" style="598" customWidth="1"/>
    <col min="7" max="22" width="20.1796875" style="21" customWidth="1"/>
    <col min="23" max="16384" width="9.1796875" style="21"/>
  </cols>
  <sheetData>
    <row r="1" spans="1:22" ht="15" thickBot="1" x14ac:dyDescent="0.4">
      <c r="A1" s="1458" t="s">
        <v>799</v>
      </c>
      <c r="B1" s="1441"/>
      <c r="C1" s="1592"/>
      <c r="D1" s="1592"/>
      <c r="E1" s="1592"/>
      <c r="F1" s="1593"/>
    </row>
    <row r="2" spans="1:22" x14ac:dyDescent="0.35">
      <c r="A2" s="597" t="s">
        <v>45</v>
      </c>
      <c r="B2" s="23" t="str">
        <f>'FS-Balance Sheet 3.04'!B4</f>
        <v>Select Contractor Name</v>
      </c>
    </row>
    <row r="3" spans="1:22" ht="15" thickBot="1" x14ac:dyDescent="0.4">
      <c r="A3" s="597" t="s">
        <v>708</v>
      </c>
      <c r="B3" s="40" t="str">
        <f>'FS-Balance Sheet 3.04'!B5</f>
        <v>mm/dd/yyyy</v>
      </c>
    </row>
    <row r="4" spans="1:22" ht="15" thickBot="1" x14ac:dyDescent="0.4">
      <c r="A4" s="524" t="s">
        <v>800</v>
      </c>
      <c r="B4" s="1412">
        <f>YEAR('Instruction &amp; Audit Report B '!C23)</f>
        <v>2025</v>
      </c>
      <c r="C4" s="1445"/>
      <c r="D4" s="1594" t="s">
        <v>801</v>
      </c>
      <c r="E4" s="1595">
        <f>(DATE(RIGHT(B4,4)-1,12,31))</f>
        <v>45657</v>
      </c>
      <c r="F4" s="1596"/>
      <c r="G4" s="1702"/>
      <c r="H4" s="1703" t="s">
        <v>801</v>
      </c>
      <c r="I4" s="1704">
        <f>EDATE(E4,3)</f>
        <v>45747</v>
      </c>
      <c r="J4" s="1705"/>
      <c r="K4" s="1432"/>
      <c r="L4" s="1433" t="s">
        <v>801</v>
      </c>
      <c r="M4" s="1434">
        <f>EDATE(I4,3)</f>
        <v>45838</v>
      </c>
      <c r="N4" s="1435"/>
      <c r="O4" s="1736"/>
      <c r="P4" s="1737" t="s">
        <v>801</v>
      </c>
      <c r="Q4" s="1738">
        <f>EDATE(M4,3)</f>
        <v>45930</v>
      </c>
      <c r="R4" s="1739"/>
      <c r="S4" s="1743"/>
      <c r="T4" s="1744" t="str">
        <f>"Contract Year "&amp;B4</f>
        <v>Contract Year 2025</v>
      </c>
      <c r="U4" s="1745" t="s">
        <v>802</v>
      </c>
      <c r="V4" s="1746"/>
    </row>
    <row r="5" spans="1:22" ht="14.5" customHeight="1" x14ac:dyDescent="0.35">
      <c r="A5" s="11"/>
      <c r="C5" s="1475" t="s">
        <v>796</v>
      </c>
      <c r="D5" s="1475" t="s">
        <v>796</v>
      </c>
      <c r="E5" s="1475" t="s">
        <v>796</v>
      </c>
      <c r="F5" s="2292" t="s">
        <v>797</v>
      </c>
      <c r="G5" s="1706" t="s">
        <v>796</v>
      </c>
      <c r="H5" s="1706" t="s">
        <v>796</v>
      </c>
      <c r="I5" s="1706" t="s">
        <v>796</v>
      </c>
      <c r="J5" s="2295" t="s">
        <v>797</v>
      </c>
      <c r="K5" s="1436" t="s">
        <v>796</v>
      </c>
      <c r="L5" s="1436" t="s">
        <v>796</v>
      </c>
      <c r="M5" s="1436" t="s">
        <v>796</v>
      </c>
      <c r="N5" s="2289" t="s">
        <v>797</v>
      </c>
      <c r="O5" s="1740" t="s">
        <v>796</v>
      </c>
      <c r="P5" s="1740" t="s">
        <v>796</v>
      </c>
      <c r="Q5" s="1740" t="s">
        <v>796</v>
      </c>
      <c r="R5" s="2300" t="s">
        <v>797</v>
      </c>
      <c r="S5" s="1747" t="s">
        <v>796</v>
      </c>
      <c r="T5" s="1747" t="s">
        <v>796</v>
      </c>
      <c r="U5" s="1747" t="s">
        <v>796</v>
      </c>
      <c r="V5" s="2303" t="s">
        <v>797</v>
      </c>
    </row>
    <row r="6" spans="1:22" x14ac:dyDescent="0.35">
      <c r="A6" s="11"/>
      <c r="C6" s="1591" t="s">
        <v>798</v>
      </c>
      <c r="D6" s="1591" t="s">
        <v>798</v>
      </c>
      <c r="E6" s="1591" t="s">
        <v>798</v>
      </c>
      <c r="F6" s="2293"/>
      <c r="G6" s="1707" t="s">
        <v>798</v>
      </c>
      <c r="H6" s="1707" t="s">
        <v>798</v>
      </c>
      <c r="I6" s="1707" t="s">
        <v>798</v>
      </c>
      <c r="J6" s="2296"/>
      <c r="K6" s="1437" t="s">
        <v>798</v>
      </c>
      <c r="L6" s="1437" t="s">
        <v>798</v>
      </c>
      <c r="M6" s="1437" t="s">
        <v>798</v>
      </c>
      <c r="N6" s="2298"/>
      <c r="O6" s="1741" t="s">
        <v>798</v>
      </c>
      <c r="P6" s="1741" t="s">
        <v>798</v>
      </c>
      <c r="Q6" s="1741" t="s">
        <v>798</v>
      </c>
      <c r="R6" s="2301"/>
      <c r="S6" s="1748" t="s">
        <v>798</v>
      </c>
      <c r="T6" s="1748" t="s">
        <v>798</v>
      </c>
      <c r="U6" s="1748" t="s">
        <v>798</v>
      </c>
      <c r="V6" s="2304"/>
    </row>
    <row r="7" spans="1:22" ht="15.65" customHeight="1" thickBot="1" x14ac:dyDescent="0.4">
      <c r="C7" s="1578" t="str">
        <f>"Contract Year "&amp;$B$4-3</f>
        <v>Contract Year 2022</v>
      </c>
      <c r="D7" s="1578" t="str">
        <f>"Contract Year "&amp;$B$4-2</f>
        <v>Contract Year 2023</v>
      </c>
      <c r="E7" s="1578" t="str">
        <f>"Contract Year "&amp;$B$4-1</f>
        <v>Contract Year 2024</v>
      </c>
      <c r="F7" s="2294"/>
      <c r="G7" s="1708" t="str">
        <f>C7</f>
        <v>Contract Year 2022</v>
      </c>
      <c r="H7" s="1708" t="str">
        <f>D7</f>
        <v>Contract Year 2023</v>
      </c>
      <c r="I7" s="1708" t="str">
        <f>E7</f>
        <v>Contract Year 2024</v>
      </c>
      <c r="J7" s="2297"/>
      <c r="K7" s="1438" t="str">
        <f>G7</f>
        <v>Contract Year 2022</v>
      </c>
      <c r="L7" s="1438" t="str">
        <f>H7</f>
        <v>Contract Year 2023</v>
      </c>
      <c r="M7" s="1438" t="str">
        <f>I7</f>
        <v>Contract Year 2024</v>
      </c>
      <c r="N7" s="2299"/>
      <c r="O7" s="1742" t="str">
        <f>K7</f>
        <v>Contract Year 2022</v>
      </c>
      <c r="P7" s="1742" t="str">
        <f>L7</f>
        <v>Contract Year 2023</v>
      </c>
      <c r="Q7" s="1742" t="str">
        <f>M7</f>
        <v>Contract Year 2024</v>
      </c>
      <c r="R7" s="2302"/>
      <c r="S7" s="1749" t="str">
        <f>O7</f>
        <v>Contract Year 2022</v>
      </c>
      <c r="T7" s="1749" t="str">
        <f>P7</f>
        <v>Contract Year 2023</v>
      </c>
      <c r="U7" s="1749" t="str">
        <f>Q7</f>
        <v>Contract Year 2024</v>
      </c>
      <c r="V7" s="2305"/>
    </row>
    <row r="8" spans="1:22" x14ac:dyDescent="0.35">
      <c r="A8" s="599" t="s">
        <v>199</v>
      </c>
      <c r="B8" s="527"/>
      <c r="C8" s="600"/>
      <c r="D8" s="601"/>
      <c r="E8" s="601"/>
      <c r="F8" s="602"/>
      <c r="G8" s="600"/>
      <c r="H8" s="601"/>
      <c r="I8" s="601"/>
      <c r="J8" s="602"/>
      <c r="K8" s="600"/>
      <c r="L8" s="601"/>
      <c r="M8" s="601"/>
      <c r="N8" s="602"/>
      <c r="O8" s="600"/>
      <c r="P8" s="601"/>
      <c r="Q8" s="601"/>
      <c r="R8" s="602"/>
      <c r="S8" s="1413"/>
      <c r="T8" s="1414"/>
      <c r="U8" s="1414"/>
      <c r="V8" s="602"/>
    </row>
    <row r="9" spans="1:22" x14ac:dyDescent="0.35">
      <c r="A9" s="411" t="s">
        <v>200</v>
      </c>
      <c r="B9" s="450" t="s">
        <v>201</v>
      </c>
      <c r="C9" s="603">
        <v>0</v>
      </c>
      <c r="D9" s="604">
        <v>0</v>
      </c>
      <c r="E9" s="604">
        <v>0</v>
      </c>
      <c r="F9" s="605">
        <f>SUM(C9:E9)</f>
        <v>0</v>
      </c>
      <c r="G9" s="603">
        <v>0</v>
      </c>
      <c r="H9" s="604">
        <v>0</v>
      </c>
      <c r="I9" s="604">
        <v>0</v>
      </c>
      <c r="J9" s="605">
        <f>SUM(G9:I9)</f>
        <v>0</v>
      </c>
      <c r="K9" s="603">
        <v>0</v>
      </c>
      <c r="L9" s="604">
        <v>0</v>
      </c>
      <c r="M9" s="604">
        <v>0</v>
      </c>
      <c r="N9" s="605">
        <f>SUM(K9:M9)</f>
        <v>0</v>
      </c>
      <c r="O9" s="603">
        <v>0</v>
      </c>
      <c r="P9" s="604">
        <v>0</v>
      </c>
      <c r="Q9" s="604">
        <v>0</v>
      </c>
      <c r="R9" s="605">
        <f>SUM(O9:Q9)</f>
        <v>0</v>
      </c>
      <c r="S9" s="1415">
        <f>C9+G9+K9+O9</f>
        <v>0</v>
      </c>
      <c r="T9" s="1416">
        <f>D9+H9+L9+P9</f>
        <v>0</v>
      </c>
      <c r="U9" s="1416">
        <f t="shared" ref="U9" si="0">E9+I9+M9+Q9</f>
        <v>0</v>
      </c>
      <c r="V9" s="605">
        <f>SUM(S9:U9)</f>
        <v>0</v>
      </c>
    </row>
    <row r="10" spans="1:22" x14ac:dyDescent="0.35">
      <c r="A10" s="411" t="s">
        <v>202</v>
      </c>
      <c r="B10" s="450" t="s">
        <v>203</v>
      </c>
      <c r="C10" s="603">
        <v>0</v>
      </c>
      <c r="D10" s="604">
        <v>0</v>
      </c>
      <c r="E10" s="604">
        <v>0</v>
      </c>
      <c r="F10" s="605">
        <f t="shared" ref="F10:F15" si="1">SUM(C10:E10)</f>
        <v>0</v>
      </c>
      <c r="G10" s="603">
        <v>0</v>
      </c>
      <c r="H10" s="604">
        <v>0</v>
      </c>
      <c r="I10" s="604">
        <v>0</v>
      </c>
      <c r="J10" s="605">
        <f t="shared" ref="J10:J15" si="2">SUM(G10:I10)</f>
        <v>0</v>
      </c>
      <c r="K10" s="603">
        <v>0</v>
      </c>
      <c r="L10" s="604">
        <v>0</v>
      </c>
      <c r="M10" s="604">
        <v>0</v>
      </c>
      <c r="N10" s="605">
        <f t="shared" ref="N10:N15" si="3">SUM(K10:M10)</f>
        <v>0</v>
      </c>
      <c r="O10" s="603">
        <v>0</v>
      </c>
      <c r="P10" s="604">
        <v>0</v>
      </c>
      <c r="Q10" s="604">
        <v>0</v>
      </c>
      <c r="R10" s="605">
        <f t="shared" ref="R10:R15" si="4">SUM(O10:Q10)</f>
        <v>0</v>
      </c>
      <c r="S10" s="1415">
        <f t="shared" ref="S10:S15" si="5">C10+G10+K10+O10</f>
        <v>0</v>
      </c>
      <c r="T10" s="1416">
        <f t="shared" ref="T10:T15" si="6">D10+H10+L10+P10</f>
        <v>0</v>
      </c>
      <c r="U10" s="1416">
        <f t="shared" ref="U10:U15" si="7">E10+I10+M10+Q10</f>
        <v>0</v>
      </c>
      <c r="V10" s="605">
        <f t="shared" ref="V10:V15" si="8">SUM(S10:U10)</f>
        <v>0</v>
      </c>
    </row>
    <row r="11" spans="1:22" ht="13.5" customHeight="1" x14ac:dyDescent="0.35">
      <c r="A11" s="411" t="s">
        <v>204</v>
      </c>
      <c r="B11" s="450" t="s">
        <v>205</v>
      </c>
      <c r="C11" s="603">
        <v>0</v>
      </c>
      <c r="D11" s="604">
        <v>0</v>
      </c>
      <c r="E11" s="604">
        <v>0</v>
      </c>
      <c r="F11" s="605">
        <f t="shared" si="1"/>
        <v>0</v>
      </c>
      <c r="G11" s="603">
        <v>0</v>
      </c>
      <c r="H11" s="604">
        <v>0</v>
      </c>
      <c r="I11" s="604">
        <v>0</v>
      </c>
      <c r="J11" s="605">
        <f t="shared" si="2"/>
        <v>0</v>
      </c>
      <c r="K11" s="603">
        <v>0</v>
      </c>
      <c r="L11" s="604">
        <v>0</v>
      </c>
      <c r="M11" s="604">
        <v>0</v>
      </c>
      <c r="N11" s="605">
        <f t="shared" si="3"/>
        <v>0</v>
      </c>
      <c r="O11" s="603">
        <v>0</v>
      </c>
      <c r="P11" s="604">
        <v>0</v>
      </c>
      <c r="Q11" s="604">
        <v>0</v>
      </c>
      <c r="R11" s="605">
        <f t="shared" si="4"/>
        <v>0</v>
      </c>
      <c r="S11" s="1415">
        <f t="shared" si="5"/>
        <v>0</v>
      </c>
      <c r="T11" s="1416">
        <f t="shared" si="6"/>
        <v>0</v>
      </c>
      <c r="U11" s="1416">
        <f t="shared" si="7"/>
        <v>0</v>
      </c>
      <c r="V11" s="605">
        <f t="shared" si="8"/>
        <v>0</v>
      </c>
    </row>
    <row r="12" spans="1:22" x14ac:dyDescent="0.35">
      <c r="A12" s="411" t="s">
        <v>206</v>
      </c>
      <c r="B12" s="450" t="s">
        <v>207</v>
      </c>
      <c r="C12" s="603">
        <v>0</v>
      </c>
      <c r="D12" s="604">
        <v>0</v>
      </c>
      <c r="E12" s="604">
        <v>0</v>
      </c>
      <c r="F12" s="605">
        <f t="shared" si="1"/>
        <v>0</v>
      </c>
      <c r="G12" s="603">
        <v>0</v>
      </c>
      <c r="H12" s="604">
        <v>0</v>
      </c>
      <c r="I12" s="604">
        <v>0</v>
      </c>
      <c r="J12" s="605">
        <f t="shared" si="2"/>
        <v>0</v>
      </c>
      <c r="K12" s="603">
        <v>0</v>
      </c>
      <c r="L12" s="604">
        <v>0</v>
      </c>
      <c r="M12" s="604">
        <v>0</v>
      </c>
      <c r="N12" s="605">
        <f t="shared" si="3"/>
        <v>0</v>
      </c>
      <c r="O12" s="603">
        <v>0</v>
      </c>
      <c r="P12" s="604">
        <v>0</v>
      </c>
      <c r="Q12" s="604">
        <v>0</v>
      </c>
      <c r="R12" s="605">
        <f t="shared" si="4"/>
        <v>0</v>
      </c>
      <c r="S12" s="1415">
        <f t="shared" si="5"/>
        <v>0</v>
      </c>
      <c r="T12" s="1416">
        <f t="shared" si="6"/>
        <v>0</v>
      </c>
      <c r="U12" s="1416">
        <f t="shared" si="7"/>
        <v>0</v>
      </c>
      <c r="V12" s="605">
        <f t="shared" si="8"/>
        <v>0</v>
      </c>
    </row>
    <row r="13" spans="1:22" x14ac:dyDescent="0.35">
      <c r="A13" s="411" t="s">
        <v>208</v>
      </c>
      <c r="B13" s="450" t="s">
        <v>209</v>
      </c>
      <c r="C13" s="603">
        <v>0</v>
      </c>
      <c r="D13" s="604">
        <v>0</v>
      </c>
      <c r="E13" s="604">
        <v>0</v>
      </c>
      <c r="F13" s="605">
        <f t="shared" si="1"/>
        <v>0</v>
      </c>
      <c r="G13" s="603">
        <v>0</v>
      </c>
      <c r="H13" s="604">
        <v>0</v>
      </c>
      <c r="I13" s="604">
        <v>0</v>
      </c>
      <c r="J13" s="605">
        <f t="shared" si="2"/>
        <v>0</v>
      </c>
      <c r="K13" s="603">
        <v>0</v>
      </c>
      <c r="L13" s="604">
        <v>0</v>
      </c>
      <c r="M13" s="604">
        <v>0</v>
      </c>
      <c r="N13" s="605">
        <f t="shared" si="3"/>
        <v>0</v>
      </c>
      <c r="O13" s="603">
        <v>0</v>
      </c>
      <c r="P13" s="604">
        <v>0</v>
      </c>
      <c r="Q13" s="604">
        <v>0</v>
      </c>
      <c r="R13" s="605">
        <f t="shared" si="4"/>
        <v>0</v>
      </c>
      <c r="S13" s="1415">
        <f t="shared" si="5"/>
        <v>0</v>
      </c>
      <c r="T13" s="1416">
        <f t="shared" si="6"/>
        <v>0</v>
      </c>
      <c r="U13" s="1416">
        <f t="shared" si="7"/>
        <v>0</v>
      </c>
      <c r="V13" s="605">
        <f t="shared" si="8"/>
        <v>0</v>
      </c>
    </row>
    <row r="14" spans="1:22" x14ac:dyDescent="0.35">
      <c r="A14" s="411" t="s">
        <v>210</v>
      </c>
      <c r="B14" s="450" t="s">
        <v>211</v>
      </c>
      <c r="C14" s="603">
        <v>0</v>
      </c>
      <c r="D14" s="604">
        <v>0</v>
      </c>
      <c r="E14" s="604">
        <v>0</v>
      </c>
      <c r="F14" s="605">
        <f t="shared" si="1"/>
        <v>0</v>
      </c>
      <c r="G14" s="603">
        <v>0</v>
      </c>
      <c r="H14" s="604">
        <v>0</v>
      </c>
      <c r="I14" s="604">
        <v>0</v>
      </c>
      <c r="J14" s="605">
        <f t="shared" si="2"/>
        <v>0</v>
      </c>
      <c r="K14" s="603">
        <v>0</v>
      </c>
      <c r="L14" s="604">
        <v>0</v>
      </c>
      <c r="M14" s="604">
        <v>0</v>
      </c>
      <c r="N14" s="605">
        <f t="shared" si="3"/>
        <v>0</v>
      </c>
      <c r="O14" s="603">
        <v>0</v>
      </c>
      <c r="P14" s="604">
        <v>0</v>
      </c>
      <c r="Q14" s="604">
        <v>0</v>
      </c>
      <c r="R14" s="605">
        <f t="shared" si="4"/>
        <v>0</v>
      </c>
      <c r="S14" s="1415">
        <f t="shared" si="5"/>
        <v>0</v>
      </c>
      <c r="T14" s="1416">
        <f t="shared" si="6"/>
        <v>0</v>
      </c>
      <c r="U14" s="1416">
        <f t="shared" si="7"/>
        <v>0</v>
      </c>
      <c r="V14" s="605">
        <f t="shared" si="8"/>
        <v>0</v>
      </c>
    </row>
    <row r="15" spans="1:22" ht="15" thickBot="1" x14ac:dyDescent="0.4">
      <c r="A15" s="606" t="s">
        <v>212</v>
      </c>
      <c r="B15" s="607" t="s">
        <v>213</v>
      </c>
      <c r="C15" s="608">
        <v>0</v>
      </c>
      <c r="D15" s="604">
        <v>0</v>
      </c>
      <c r="E15" s="609">
        <v>0</v>
      </c>
      <c r="F15" s="605">
        <f t="shared" si="1"/>
        <v>0</v>
      </c>
      <c r="G15" s="608">
        <v>0</v>
      </c>
      <c r="H15" s="604">
        <v>0</v>
      </c>
      <c r="I15" s="609">
        <v>0</v>
      </c>
      <c r="J15" s="605">
        <f t="shared" si="2"/>
        <v>0</v>
      </c>
      <c r="K15" s="608">
        <v>0</v>
      </c>
      <c r="L15" s="604">
        <v>0</v>
      </c>
      <c r="M15" s="609">
        <v>0</v>
      </c>
      <c r="N15" s="605">
        <f t="shared" si="3"/>
        <v>0</v>
      </c>
      <c r="O15" s="608">
        <v>0</v>
      </c>
      <c r="P15" s="604">
        <v>0</v>
      </c>
      <c r="Q15" s="609">
        <v>0</v>
      </c>
      <c r="R15" s="605">
        <f t="shared" si="4"/>
        <v>0</v>
      </c>
      <c r="S15" s="1417">
        <f t="shared" si="5"/>
        <v>0</v>
      </c>
      <c r="T15" s="1416">
        <f t="shared" si="6"/>
        <v>0</v>
      </c>
      <c r="U15" s="1418">
        <f t="shared" si="7"/>
        <v>0</v>
      </c>
      <c r="V15" s="605">
        <f t="shared" si="8"/>
        <v>0</v>
      </c>
    </row>
    <row r="16" spans="1:22" ht="15" thickBot="1" x14ac:dyDescent="0.4">
      <c r="A16" s="421">
        <v>40199</v>
      </c>
      <c r="B16" s="610" t="s">
        <v>214</v>
      </c>
      <c r="C16" s="611">
        <f t="shared" ref="C16:V16" si="9">SUM(C9:C15)</f>
        <v>0</v>
      </c>
      <c r="D16" s="612">
        <f t="shared" si="9"/>
        <v>0</v>
      </c>
      <c r="E16" s="612">
        <f t="shared" si="9"/>
        <v>0</v>
      </c>
      <c r="F16" s="612">
        <f t="shared" si="9"/>
        <v>0</v>
      </c>
      <c r="G16" s="611">
        <f t="shared" si="9"/>
        <v>0</v>
      </c>
      <c r="H16" s="612">
        <f t="shared" si="9"/>
        <v>0</v>
      </c>
      <c r="I16" s="612">
        <f t="shared" si="9"/>
        <v>0</v>
      </c>
      <c r="J16" s="612">
        <f t="shared" si="9"/>
        <v>0</v>
      </c>
      <c r="K16" s="611">
        <f t="shared" si="9"/>
        <v>0</v>
      </c>
      <c r="L16" s="612">
        <f t="shared" si="9"/>
        <v>0</v>
      </c>
      <c r="M16" s="612">
        <f t="shared" si="9"/>
        <v>0</v>
      </c>
      <c r="N16" s="612">
        <f t="shared" si="9"/>
        <v>0</v>
      </c>
      <c r="O16" s="611">
        <f t="shared" si="9"/>
        <v>0</v>
      </c>
      <c r="P16" s="612">
        <f t="shared" si="9"/>
        <v>0</v>
      </c>
      <c r="Q16" s="612">
        <f t="shared" si="9"/>
        <v>0</v>
      </c>
      <c r="R16" s="612">
        <f t="shared" si="9"/>
        <v>0</v>
      </c>
      <c r="S16" s="611">
        <f t="shared" si="9"/>
        <v>0</v>
      </c>
      <c r="T16" s="612">
        <f t="shared" si="9"/>
        <v>0</v>
      </c>
      <c r="U16" s="612">
        <f t="shared" si="9"/>
        <v>0</v>
      </c>
      <c r="V16" s="612">
        <f t="shared" si="9"/>
        <v>0</v>
      </c>
    </row>
    <row r="17" spans="1:22" x14ac:dyDescent="0.35">
      <c r="A17" s="411" t="s">
        <v>215</v>
      </c>
      <c r="B17" s="450" t="s">
        <v>216</v>
      </c>
      <c r="C17" s="613">
        <v>0</v>
      </c>
      <c r="D17" s="604">
        <v>0</v>
      </c>
      <c r="E17" s="614">
        <v>0</v>
      </c>
      <c r="F17" s="605">
        <f t="shared" ref="F17:F19" si="10">SUM(C17:E17)</f>
        <v>0</v>
      </c>
      <c r="G17" s="613">
        <v>0</v>
      </c>
      <c r="H17" s="604">
        <v>0</v>
      </c>
      <c r="I17" s="614">
        <v>0</v>
      </c>
      <c r="J17" s="605">
        <f t="shared" ref="J17:J19" si="11">SUM(G17:I17)</f>
        <v>0</v>
      </c>
      <c r="K17" s="613">
        <v>0</v>
      </c>
      <c r="L17" s="604">
        <v>0</v>
      </c>
      <c r="M17" s="614">
        <v>0</v>
      </c>
      <c r="N17" s="605">
        <f t="shared" ref="N17:N19" si="12">SUM(K17:M17)</f>
        <v>0</v>
      </c>
      <c r="O17" s="613">
        <v>0</v>
      </c>
      <c r="P17" s="604">
        <v>0</v>
      </c>
      <c r="Q17" s="614">
        <v>0</v>
      </c>
      <c r="R17" s="605">
        <f t="shared" ref="R17:R19" si="13">SUM(O17:Q17)</f>
        <v>0</v>
      </c>
      <c r="S17" s="1419">
        <f t="shared" ref="S17:S19" si="14">C17+G17+K17+O17</f>
        <v>0</v>
      </c>
      <c r="T17" s="1416">
        <f t="shared" ref="T17:T19" si="15">D17+H17+L17+P17</f>
        <v>0</v>
      </c>
      <c r="U17" s="1420">
        <f t="shared" ref="U17:U19" si="16">E17+I17+M17+Q17</f>
        <v>0</v>
      </c>
      <c r="V17" s="605">
        <f t="shared" ref="V17:V19" si="17">SUM(S17:U17)</f>
        <v>0</v>
      </c>
    </row>
    <row r="18" spans="1:22" x14ac:dyDescent="0.35">
      <c r="A18" s="411" t="s">
        <v>217</v>
      </c>
      <c r="B18" s="615" t="s">
        <v>218</v>
      </c>
      <c r="C18" s="616">
        <v>0</v>
      </c>
      <c r="D18" s="604">
        <v>0</v>
      </c>
      <c r="E18" s="604">
        <v>0</v>
      </c>
      <c r="F18" s="605">
        <f t="shared" si="10"/>
        <v>0</v>
      </c>
      <c r="G18" s="616">
        <v>0</v>
      </c>
      <c r="H18" s="604">
        <v>0</v>
      </c>
      <c r="I18" s="604">
        <v>0</v>
      </c>
      <c r="J18" s="605">
        <f t="shared" si="11"/>
        <v>0</v>
      </c>
      <c r="K18" s="616">
        <v>0</v>
      </c>
      <c r="L18" s="604">
        <v>0</v>
      </c>
      <c r="M18" s="604">
        <v>0</v>
      </c>
      <c r="N18" s="605">
        <f t="shared" si="12"/>
        <v>0</v>
      </c>
      <c r="O18" s="616">
        <v>0</v>
      </c>
      <c r="P18" s="604">
        <v>0</v>
      </c>
      <c r="Q18" s="604">
        <v>0</v>
      </c>
      <c r="R18" s="605">
        <f t="shared" si="13"/>
        <v>0</v>
      </c>
      <c r="S18" s="1421">
        <f t="shared" si="14"/>
        <v>0</v>
      </c>
      <c r="T18" s="1416">
        <f t="shared" si="15"/>
        <v>0</v>
      </c>
      <c r="U18" s="1416">
        <f t="shared" si="16"/>
        <v>0</v>
      </c>
      <c r="V18" s="605">
        <f t="shared" si="17"/>
        <v>0</v>
      </c>
    </row>
    <row r="19" spans="1:22" ht="15" thickBot="1" x14ac:dyDescent="0.4">
      <c r="A19" s="411" t="s">
        <v>219</v>
      </c>
      <c r="B19" s="450" t="s">
        <v>220</v>
      </c>
      <c r="C19" s="616">
        <v>0</v>
      </c>
      <c r="D19" s="604">
        <v>0</v>
      </c>
      <c r="E19" s="604">
        <v>0</v>
      </c>
      <c r="F19" s="605">
        <f t="shared" si="10"/>
        <v>0</v>
      </c>
      <c r="G19" s="616">
        <v>0</v>
      </c>
      <c r="H19" s="604">
        <v>0</v>
      </c>
      <c r="I19" s="604">
        <v>0</v>
      </c>
      <c r="J19" s="605">
        <f t="shared" si="11"/>
        <v>0</v>
      </c>
      <c r="K19" s="616">
        <v>0</v>
      </c>
      <c r="L19" s="604">
        <v>0</v>
      </c>
      <c r="M19" s="604">
        <v>0</v>
      </c>
      <c r="N19" s="605">
        <f t="shared" si="12"/>
        <v>0</v>
      </c>
      <c r="O19" s="616">
        <v>0</v>
      </c>
      <c r="P19" s="604">
        <v>0</v>
      </c>
      <c r="Q19" s="604">
        <v>0</v>
      </c>
      <c r="R19" s="605">
        <f t="shared" si="13"/>
        <v>0</v>
      </c>
      <c r="S19" s="1421">
        <f t="shared" si="14"/>
        <v>0</v>
      </c>
      <c r="T19" s="1416">
        <f t="shared" si="15"/>
        <v>0</v>
      </c>
      <c r="U19" s="1416">
        <f t="shared" si="16"/>
        <v>0</v>
      </c>
      <c r="V19" s="605">
        <f t="shared" si="17"/>
        <v>0</v>
      </c>
    </row>
    <row r="20" spans="1:22" ht="15" thickBot="1" x14ac:dyDescent="0.4">
      <c r="A20" s="421">
        <v>49999</v>
      </c>
      <c r="B20" s="610" t="s">
        <v>221</v>
      </c>
      <c r="C20" s="611">
        <f t="shared" ref="C20:V20" si="18">C16+C17+C18+C19</f>
        <v>0</v>
      </c>
      <c r="D20" s="612">
        <f t="shared" si="18"/>
        <v>0</v>
      </c>
      <c r="E20" s="612">
        <f t="shared" si="18"/>
        <v>0</v>
      </c>
      <c r="F20" s="612">
        <f t="shared" si="18"/>
        <v>0</v>
      </c>
      <c r="G20" s="611">
        <f t="shared" si="18"/>
        <v>0</v>
      </c>
      <c r="H20" s="612">
        <f t="shared" si="18"/>
        <v>0</v>
      </c>
      <c r="I20" s="612">
        <f t="shared" si="18"/>
        <v>0</v>
      </c>
      <c r="J20" s="612">
        <f t="shared" si="18"/>
        <v>0</v>
      </c>
      <c r="K20" s="611">
        <f t="shared" si="18"/>
        <v>0</v>
      </c>
      <c r="L20" s="612">
        <f t="shared" si="18"/>
        <v>0</v>
      </c>
      <c r="M20" s="612">
        <f t="shared" si="18"/>
        <v>0</v>
      </c>
      <c r="N20" s="612">
        <f t="shared" si="18"/>
        <v>0</v>
      </c>
      <c r="O20" s="611">
        <f t="shared" si="18"/>
        <v>0</v>
      </c>
      <c r="P20" s="612">
        <f t="shared" si="18"/>
        <v>0</v>
      </c>
      <c r="Q20" s="612">
        <f t="shared" si="18"/>
        <v>0</v>
      </c>
      <c r="R20" s="612">
        <f t="shared" si="18"/>
        <v>0</v>
      </c>
      <c r="S20" s="611">
        <f t="shared" si="18"/>
        <v>0</v>
      </c>
      <c r="T20" s="612">
        <f t="shared" si="18"/>
        <v>0</v>
      </c>
      <c r="U20" s="612">
        <f t="shared" si="18"/>
        <v>0</v>
      </c>
      <c r="V20" s="612">
        <f t="shared" si="18"/>
        <v>0</v>
      </c>
    </row>
    <row r="21" spans="1:22" x14ac:dyDescent="0.35">
      <c r="A21" s="399" t="s">
        <v>222</v>
      </c>
      <c r="B21" s="538"/>
      <c r="C21" s="617"/>
      <c r="D21" s="618"/>
      <c r="E21" s="619"/>
      <c r="F21" s="620"/>
      <c r="G21" s="617"/>
      <c r="H21" s="618"/>
      <c r="I21" s="619"/>
      <c r="J21" s="620"/>
      <c r="K21" s="617"/>
      <c r="L21" s="618"/>
      <c r="M21" s="619"/>
      <c r="N21" s="620"/>
      <c r="O21" s="617"/>
      <c r="P21" s="618"/>
      <c r="Q21" s="619"/>
      <c r="R21" s="620"/>
      <c r="S21" s="1419"/>
      <c r="T21" s="1416"/>
      <c r="U21" s="1420"/>
      <c r="V21" s="620"/>
    </row>
    <row r="22" spans="1:22" x14ac:dyDescent="0.35">
      <c r="A22" s="444" t="s">
        <v>223</v>
      </c>
      <c r="B22" s="450" t="s">
        <v>224</v>
      </c>
      <c r="C22" s="616">
        <v>0</v>
      </c>
      <c r="D22" s="604">
        <v>0</v>
      </c>
      <c r="E22" s="604">
        <v>0</v>
      </c>
      <c r="F22" s="605">
        <f t="shared" ref="F22:F27" si="19">SUM(C22:E22)</f>
        <v>0</v>
      </c>
      <c r="G22" s="616">
        <v>0</v>
      </c>
      <c r="H22" s="604">
        <v>0</v>
      </c>
      <c r="I22" s="604">
        <v>0</v>
      </c>
      <c r="J22" s="605">
        <f t="shared" ref="J22:J27" si="20">SUM(G22:I22)</f>
        <v>0</v>
      </c>
      <c r="K22" s="616">
        <v>0</v>
      </c>
      <c r="L22" s="604">
        <v>0</v>
      </c>
      <c r="M22" s="604">
        <v>0</v>
      </c>
      <c r="N22" s="605">
        <f t="shared" ref="N22:N27" si="21">SUM(K22:M22)</f>
        <v>0</v>
      </c>
      <c r="O22" s="616">
        <v>0</v>
      </c>
      <c r="P22" s="604">
        <v>0</v>
      </c>
      <c r="Q22" s="604">
        <v>0</v>
      </c>
      <c r="R22" s="605">
        <f t="shared" ref="R22:R27" si="22">SUM(O22:Q22)</f>
        <v>0</v>
      </c>
      <c r="S22" s="1421">
        <f t="shared" ref="S22:S27" si="23">C22+G22+K22+O22</f>
        <v>0</v>
      </c>
      <c r="T22" s="1416">
        <f t="shared" ref="T22:T27" si="24">D22+H22+L22+P22</f>
        <v>0</v>
      </c>
      <c r="U22" s="1416">
        <f t="shared" ref="U22:U27" si="25">E22+I22+M22+Q22</f>
        <v>0</v>
      </c>
      <c r="V22" s="605">
        <f t="shared" ref="V22:V27" si="26">SUM(S22:U22)</f>
        <v>0</v>
      </c>
    </row>
    <row r="23" spans="1:22" x14ac:dyDescent="0.35">
      <c r="A23" s="445" t="s">
        <v>225</v>
      </c>
      <c r="B23" s="450" t="s">
        <v>226</v>
      </c>
      <c r="C23" s="616">
        <v>0</v>
      </c>
      <c r="D23" s="604">
        <v>0</v>
      </c>
      <c r="E23" s="604">
        <v>0</v>
      </c>
      <c r="F23" s="605">
        <f t="shared" si="19"/>
        <v>0</v>
      </c>
      <c r="G23" s="616">
        <v>0</v>
      </c>
      <c r="H23" s="604">
        <v>0</v>
      </c>
      <c r="I23" s="604">
        <v>0</v>
      </c>
      <c r="J23" s="605">
        <f t="shared" si="20"/>
        <v>0</v>
      </c>
      <c r="K23" s="616">
        <v>0</v>
      </c>
      <c r="L23" s="604">
        <v>0</v>
      </c>
      <c r="M23" s="604">
        <v>0</v>
      </c>
      <c r="N23" s="605">
        <f t="shared" si="21"/>
        <v>0</v>
      </c>
      <c r="O23" s="616">
        <v>0</v>
      </c>
      <c r="P23" s="604">
        <v>0</v>
      </c>
      <c r="Q23" s="604">
        <v>0</v>
      </c>
      <c r="R23" s="605">
        <f t="shared" si="22"/>
        <v>0</v>
      </c>
      <c r="S23" s="1421">
        <f t="shared" si="23"/>
        <v>0</v>
      </c>
      <c r="T23" s="1416">
        <f t="shared" si="24"/>
        <v>0</v>
      </c>
      <c r="U23" s="1416">
        <f t="shared" si="25"/>
        <v>0</v>
      </c>
      <c r="V23" s="605">
        <f t="shared" si="26"/>
        <v>0</v>
      </c>
    </row>
    <row r="24" spans="1:22" x14ac:dyDescent="0.35">
      <c r="A24" s="445" t="s">
        <v>227</v>
      </c>
      <c r="B24" s="450" t="s">
        <v>228</v>
      </c>
      <c r="C24" s="616">
        <v>0</v>
      </c>
      <c r="D24" s="604">
        <v>0</v>
      </c>
      <c r="E24" s="604">
        <v>0</v>
      </c>
      <c r="F24" s="605">
        <f t="shared" si="19"/>
        <v>0</v>
      </c>
      <c r="G24" s="616">
        <v>0</v>
      </c>
      <c r="H24" s="604">
        <v>0</v>
      </c>
      <c r="I24" s="604">
        <v>0</v>
      </c>
      <c r="J24" s="605">
        <f t="shared" si="20"/>
        <v>0</v>
      </c>
      <c r="K24" s="616">
        <v>0</v>
      </c>
      <c r="L24" s="604">
        <v>0</v>
      </c>
      <c r="M24" s="604">
        <v>0</v>
      </c>
      <c r="N24" s="605">
        <f t="shared" si="21"/>
        <v>0</v>
      </c>
      <c r="O24" s="616">
        <v>0</v>
      </c>
      <c r="P24" s="604">
        <v>0</v>
      </c>
      <c r="Q24" s="604">
        <v>0</v>
      </c>
      <c r="R24" s="605">
        <f t="shared" si="22"/>
        <v>0</v>
      </c>
      <c r="S24" s="1421">
        <f t="shared" si="23"/>
        <v>0</v>
      </c>
      <c r="T24" s="1416">
        <f t="shared" si="24"/>
        <v>0</v>
      </c>
      <c r="U24" s="1416">
        <f t="shared" si="25"/>
        <v>0</v>
      </c>
      <c r="V24" s="605">
        <f t="shared" si="26"/>
        <v>0</v>
      </c>
    </row>
    <row r="25" spans="1:22" x14ac:dyDescent="0.35">
      <c r="A25" s="411" t="s">
        <v>229</v>
      </c>
      <c r="B25" s="450" t="s">
        <v>230</v>
      </c>
      <c r="C25" s="616">
        <v>0</v>
      </c>
      <c r="D25" s="604">
        <v>0</v>
      </c>
      <c r="E25" s="604">
        <v>0</v>
      </c>
      <c r="F25" s="605">
        <f t="shared" si="19"/>
        <v>0</v>
      </c>
      <c r="G25" s="616">
        <v>0</v>
      </c>
      <c r="H25" s="604">
        <v>0</v>
      </c>
      <c r="I25" s="604">
        <v>0</v>
      </c>
      <c r="J25" s="605">
        <f t="shared" si="20"/>
        <v>0</v>
      </c>
      <c r="K25" s="616">
        <v>0</v>
      </c>
      <c r="L25" s="604">
        <v>0</v>
      </c>
      <c r="M25" s="604">
        <v>0</v>
      </c>
      <c r="N25" s="605">
        <f t="shared" si="21"/>
        <v>0</v>
      </c>
      <c r="O25" s="616">
        <v>0</v>
      </c>
      <c r="P25" s="604">
        <v>0</v>
      </c>
      <c r="Q25" s="604">
        <v>0</v>
      </c>
      <c r="R25" s="605">
        <f t="shared" si="22"/>
        <v>0</v>
      </c>
      <c r="S25" s="1421">
        <f t="shared" si="23"/>
        <v>0</v>
      </c>
      <c r="T25" s="1416">
        <f t="shared" si="24"/>
        <v>0</v>
      </c>
      <c r="U25" s="1416">
        <f t="shared" si="25"/>
        <v>0</v>
      </c>
      <c r="V25" s="605">
        <f t="shared" si="26"/>
        <v>0</v>
      </c>
    </row>
    <row r="26" spans="1:22" x14ac:dyDescent="0.35">
      <c r="A26" s="411" t="s">
        <v>231</v>
      </c>
      <c r="B26" s="450" t="s">
        <v>232</v>
      </c>
      <c r="C26" s="616">
        <v>0</v>
      </c>
      <c r="D26" s="604">
        <v>0</v>
      </c>
      <c r="E26" s="604">
        <v>0</v>
      </c>
      <c r="F26" s="605">
        <f t="shared" si="19"/>
        <v>0</v>
      </c>
      <c r="G26" s="616">
        <v>0</v>
      </c>
      <c r="H26" s="604">
        <v>0</v>
      </c>
      <c r="I26" s="604">
        <v>0</v>
      </c>
      <c r="J26" s="605">
        <f t="shared" si="20"/>
        <v>0</v>
      </c>
      <c r="K26" s="616">
        <v>0</v>
      </c>
      <c r="L26" s="604">
        <v>0</v>
      </c>
      <c r="M26" s="604">
        <v>0</v>
      </c>
      <c r="N26" s="605">
        <f t="shared" si="21"/>
        <v>0</v>
      </c>
      <c r="O26" s="616">
        <v>0</v>
      </c>
      <c r="P26" s="604">
        <v>0</v>
      </c>
      <c r="Q26" s="604">
        <v>0</v>
      </c>
      <c r="R26" s="605">
        <f t="shared" si="22"/>
        <v>0</v>
      </c>
      <c r="S26" s="1421">
        <f t="shared" si="23"/>
        <v>0</v>
      </c>
      <c r="T26" s="1416">
        <f t="shared" si="24"/>
        <v>0</v>
      </c>
      <c r="U26" s="1416">
        <f t="shared" si="25"/>
        <v>0</v>
      </c>
      <c r="V26" s="605">
        <f t="shared" si="26"/>
        <v>0</v>
      </c>
    </row>
    <row r="27" spans="1:22" ht="15" thickBot="1" x14ac:dyDescent="0.4">
      <c r="A27" s="411" t="s">
        <v>233</v>
      </c>
      <c r="B27" s="450" t="s">
        <v>234</v>
      </c>
      <c r="C27" s="621">
        <v>0</v>
      </c>
      <c r="D27" s="604">
        <v>0</v>
      </c>
      <c r="E27" s="609">
        <v>0</v>
      </c>
      <c r="F27" s="605">
        <f t="shared" si="19"/>
        <v>0</v>
      </c>
      <c r="G27" s="621">
        <v>0</v>
      </c>
      <c r="H27" s="604">
        <v>0</v>
      </c>
      <c r="I27" s="609">
        <v>0</v>
      </c>
      <c r="J27" s="605">
        <f t="shared" si="20"/>
        <v>0</v>
      </c>
      <c r="K27" s="621">
        <v>0</v>
      </c>
      <c r="L27" s="604">
        <v>0</v>
      </c>
      <c r="M27" s="609">
        <v>0</v>
      </c>
      <c r="N27" s="605">
        <f t="shared" si="21"/>
        <v>0</v>
      </c>
      <c r="O27" s="621">
        <v>0</v>
      </c>
      <c r="P27" s="604">
        <v>0</v>
      </c>
      <c r="Q27" s="609">
        <v>0</v>
      </c>
      <c r="R27" s="605">
        <f t="shared" si="22"/>
        <v>0</v>
      </c>
      <c r="S27" s="1422">
        <f t="shared" si="23"/>
        <v>0</v>
      </c>
      <c r="T27" s="1416">
        <f t="shared" si="24"/>
        <v>0</v>
      </c>
      <c r="U27" s="1418">
        <f t="shared" si="25"/>
        <v>0</v>
      </c>
      <c r="V27" s="605">
        <f t="shared" si="26"/>
        <v>0</v>
      </c>
    </row>
    <row r="28" spans="1:22" ht="15" thickBot="1" x14ac:dyDescent="0.4">
      <c r="A28" s="421" t="s">
        <v>235</v>
      </c>
      <c r="B28" s="610" t="s">
        <v>236</v>
      </c>
      <c r="C28" s="611">
        <f t="shared" ref="C28:V28" si="27">SUM(C22:C27)</f>
        <v>0</v>
      </c>
      <c r="D28" s="612">
        <f t="shared" si="27"/>
        <v>0</v>
      </c>
      <c r="E28" s="612">
        <f t="shared" si="27"/>
        <v>0</v>
      </c>
      <c r="F28" s="612">
        <f t="shared" si="27"/>
        <v>0</v>
      </c>
      <c r="G28" s="611">
        <f t="shared" si="27"/>
        <v>0</v>
      </c>
      <c r="H28" s="612">
        <f t="shared" si="27"/>
        <v>0</v>
      </c>
      <c r="I28" s="612">
        <f t="shared" si="27"/>
        <v>0</v>
      </c>
      <c r="J28" s="612">
        <f t="shared" si="27"/>
        <v>0</v>
      </c>
      <c r="K28" s="611">
        <f t="shared" si="27"/>
        <v>0</v>
      </c>
      <c r="L28" s="612">
        <f t="shared" si="27"/>
        <v>0</v>
      </c>
      <c r="M28" s="612">
        <f t="shared" si="27"/>
        <v>0</v>
      </c>
      <c r="N28" s="612">
        <f t="shared" si="27"/>
        <v>0</v>
      </c>
      <c r="O28" s="611">
        <f t="shared" si="27"/>
        <v>0</v>
      </c>
      <c r="P28" s="612">
        <f t="shared" si="27"/>
        <v>0</v>
      </c>
      <c r="Q28" s="612">
        <f t="shared" si="27"/>
        <v>0</v>
      </c>
      <c r="R28" s="612">
        <f t="shared" si="27"/>
        <v>0</v>
      </c>
      <c r="S28" s="611">
        <f t="shared" si="27"/>
        <v>0</v>
      </c>
      <c r="T28" s="612">
        <f t="shared" si="27"/>
        <v>0</v>
      </c>
      <c r="U28" s="612">
        <f t="shared" si="27"/>
        <v>0</v>
      </c>
      <c r="V28" s="612">
        <f t="shared" si="27"/>
        <v>0</v>
      </c>
    </row>
    <row r="29" spans="1:22" x14ac:dyDescent="0.35">
      <c r="A29" s="399" t="s">
        <v>237</v>
      </c>
      <c r="B29" s="538"/>
      <c r="C29" s="617"/>
      <c r="D29" s="618"/>
      <c r="E29" s="619"/>
      <c r="F29" s="620"/>
      <c r="G29" s="617"/>
      <c r="H29" s="618"/>
      <c r="I29" s="619"/>
      <c r="J29" s="620"/>
      <c r="K29" s="617"/>
      <c r="L29" s="618"/>
      <c r="M29" s="619"/>
      <c r="N29" s="620"/>
      <c r="O29" s="617"/>
      <c r="P29" s="618"/>
      <c r="Q29" s="619"/>
      <c r="R29" s="620"/>
      <c r="S29" s="1419"/>
      <c r="T29" s="1416"/>
      <c r="U29" s="1420"/>
      <c r="V29" s="620"/>
    </row>
    <row r="30" spans="1:22" x14ac:dyDescent="0.35">
      <c r="A30" s="411" t="s">
        <v>238</v>
      </c>
      <c r="B30" s="450" t="s">
        <v>239</v>
      </c>
      <c r="C30" s="616">
        <v>0</v>
      </c>
      <c r="D30" s="604">
        <v>0</v>
      </c>
      <c r="E30" s="604">
        <v>0</v>
      </c>
      <c r="F30" s="605">
        <f t="shared" ref="F30:F44" si="28">SUM(C30:E30)</f>
        <v>0</v>
      </c>
      <c r="G30" s="616">
        <v>0</v>
      </c>
      <c r="H30" s="604">
        <v>0</v>
      </c>
      <c r="I30" s="604">
        <v>0</v>
      </c>
      <c r="J30" s="605">
        <f t="shared" ref="J30:J44" si="29">SUM(G30:I30)</f>
        <v>0</v>
      </c>
      <c r="K30" s="616">
        <v>0</v>
      </c>
      <c r="L30" s="604">
        <v>0</v>
      </c>
      <c r="M30" s="604">
        <v>0</v>
      </c>
      <c r="N30" s="605">
        <f t="shared" ref="N30:N44" si="30">SUM(K30:M30)</f>
        <v>0</v>
      </c>
      <c r="O30" s="616">
        <v>0</v>
      </c>
      <c r="P30" s="604">
        <v>0</v>
      </c>
      <c r="Q30" s="604">
        <v>0</v>
      </c>
      <c r="R30" s="605">
        <f t="shared" ref="R30:R44" si="31">SUM(O30:Q30)</f>
        <v>0</v>
      </c>
      <c r="S30" s="1421">
        <f t="shared" ref="S30:S44" si="32">C30+G30+K30+O30</f>
        <v>0</v>
      </c>
      <c r="T30" s="1416">
        <f t="shared" ref="T30:T44" si="33">D30+H30+L30+P30</f>
        <v>0</v>
      </c>
      <c r="U30" s="1416">
        <f t="shared" ref="U30:U44" si="34">E30+I30+M30+Q30</f>
        <v>0</v>
      </c>
      <c r="V30" s="605">
        <f t="shared" ref="V30:V44" si="35">SUM(S30:U30)</f>
        <v>0</v>
      </c>
    </row>
    <row r="31" spans="1:22" x14ac:dyDescent="0.35">
      <c r="A31" s="411" t="s">
        <v>240</v>
      </c>
      <c r="B31" s="450" t="s">
        <v>241</v>
      </c>
      <c r="C31" s="616">
        <v>0</v>
      </c>
      <c r="D31" s="604">
        <v>0</v>
      </c>
      <c r="E31" s="604">
        <v>0</v>
      </c>
      <c r="F31" s="605">
        <f t="shared" si="28"/>
        <v>0</v>
      </c>
      <c r="G31" s="616">
        <v>0</v>
      </c>
      <c r="H31" s="604">
        <v>0</v>
      </c>
      <c r="I31" s="604">
        <v>0</v>
      </c>
      <c r="J31" s="605">
        <f t="shared" si="29"/>
        <v>0</v>
      </c>
      <c r="K31" s="616">
        <v>0</v>
      </c>
      <c r="L31" s="604">
        <v>0</v>
      </c>
      <c r="M31" s="604">
        <v>0</v>
      </c>
      <c r="N31" s="605">
        <f t="shared" si="30"/>
        <v>0</v>
      </c>
      <c r="O31" s="616">
        <v>0</v>
      </c>
      <c r="P31" s="604">
        <v>0</v>
      </c>
      <c r="Q31" s="604">
        <v>0</v>
      </c>
      <c r="R31" s="605">
        <f t="shared" si="31"/>
        <v>0</v>
      </c>
      <c r="S31" s="1421">
        <f t="shared" si="32"/>
        <v>0</v>
      </c>
      <c r="T31" s="1416">
        <f t="shared" si="33"/>
        <v>0</v>
      </c>
      <c r="U31" s="1416">
        <f t="shared" si="34"/>
        <v>0</v>
      </c>
      <c r="V31" s="605">
        <f t="shared" si="35"/>
        <v>0</v>
      </c>
    </row>
    <row r="32" spans="1:22" x14ac:dyDescent="0.35">
      <c r="A32" s="411" t="s">
        <v>242</v>
      </c>
      <c r="B32" s="450" t="s">
        <v>243</v>
      </c>
      <c r="C32" s="616">
        <v>0</v>
      </c>
      <c r="D32" s="604">
        <v>0</v>
      </c>
      <c r="E32" s="604">
        <v>0</v>
      </c>
      <c r="F32" s="605">
        <f t="shared" si="28"/>
        <v>0</v>
      </c>
      <c r="G32" s="616">
        <v>0</v>
      </c>
      <c r="H32" s="604">
        <v>0</v>
      </c>
      <c r="I32" s="604">
        <v>0</v>
      </c>
      <c r="J32" s="605">
        <f t="shared" si="29"/>
        <v>0</v>
      </c>
      <c r="K32" s="616">
        <v>0</v>
      </c>
      <c r="L32" s="604">
        <v>0</v>
      </c>
      <c r="M32" s="604">
        <v>0</v>
      </c>
      <c r="N32" s="605">
        <f t="shared" si="30"/>
        <v>0</v>
      </c>
      <c r="O32" s="616">
        <v>0</v>
      </c>
      <c r="P32" s="604">
        <v>0</v>
      </c>
      <c r="Q32" s="604">
        <v>0</v>
      </c>
      <c r="R32" s="605">
        <f t="shared" si="31"/>
        <v>0</v>
      </c>
      <c r="S32" s="1421">
        <f t="shared" si="32"/>
        <v>0</v>
      </c>
      <c r="T32" s="1416">
        <f t="shared" si="33"/>
        <v>0</v>
      </c>
      <c r="U32" s="1416">
        <f t="shared" si="34"/>
        <v>0</v>
      </c>
      <c r="V32" s="605">
        <f t="shared" si="35"/>
        <v>0</v>
      </c>
    </row>
    <row r="33" spans="1:22" x14ac:dyDescent="0.35">
      <c r="A33" s="411" t="s">
        <v>244</v>
      </c>
      <c r="B33" s="450" t="s">
        <v>245</v>
      </c>
      <c r="C33" s="616">
        <v>0</v>
      </c>
      <c r="D33" s="604">
        <v>0</v>
      </c>
      <c r="E33" s="604">
        <v>0</v>
      </c>
      <c r="F33" s="605">
        <f t="shared" si="28"/>
        <v>0</v>
      </c>
      <c r="G33" s="616">
        <v>0</v>
      </c>
      <c r="H33" s="604">
        <v>0</v>
      </c>
      <c r="I33" s="604">
        <v>0</v>
      </c>
      <c r="J33" s="605">
        <f t="shared" si="29"/>
        <v>0</v>
      </c>
      <c r="K33" s="616">
        <v>0</v>
      </c>
      <c r="L33" s="604">
        <v>0</v>
      </c>
      <c r="M33" s="604">
        <v>0</v>
      </c>
      <c r="N33" s="605">
        <f t="shared" si="30"/>
        <v>0</v>
      </c>
      <c r="O33" s="616">
        <v>0</v>
      </c>
      <c r="P33" s="604">
        <v>0</v>
      </c>
      <c r="Q33" s="604">
        <v>0</v>
      </c>
      <c r="R33" s="605">
        <f t="shared" si="31"/>
        <v>0</v>
      </c>
      <c r="S33" s="1421">
        <f t="shared" si="32"/>
        <v>0</v>
      </c>
      <c r="T33" s="1416">
        <f t="shared" si="33"/>
        <v>0</v>
      </c>
      <c r="U33" s="1416">
        <f t="shared" si="34"/>
        <v>0</v>
      </c>
      <c r="V33" s="605">
        <f t="shared" si="35"/>
        <v>0</v>
      </c>
    </row>
    <row r="34" spans="1:22" x14ac:dyDescent="0.35">
      <c r="A34" s="411" t="s">
        <v>246</v>
      </c>
      <c r="B34" s="450" t="s">
        <v>247</v>
      </c>
      <c r="C34" s="616">
        <v>0</v>
      </c>
      <c r="D34" s="604">
        <v>0</v>
      </c>
      <c r="E34" s="604">
        <v>0</v>
      </c>
      <c r="F34" s="605">
        <f t="shared" si="28"/>
        <v>0</v>
      </c>
      <c r="G34" s="616">
        <v>0</v>
      </c>
      <c r="H34" s="604">
        <v>0</v>
      </c>
      <c r="I34" s="604">
        <v>0</v>
      </c>
      <c r="J34" s="605">
        <f t="shared" si="29"/>
        <v>0</v>
      </c>
      <c r="K34" s="616">
        <v>0</v>
      </c>
      <c r="L34" s="604">
        <v>0</v>
      </c>
      <c r="M34" s="604">
        <v>0</v>
      </c>
      <c r="N34" s="605">
        <f t="shared" si="30"/>
        <v>0</v>
      </c>
      <c r="O34" s="616">
        <v>0</v>
      </c>
      <c r="P34" s="604">
        <v>0</v>
      </c>
      <c r="Q34" s="604">
        <v>0</v>
      </c>
      <c r="R34" s="605">
        <f t="shared" si="31"/>
        <v>0</v>
      </c>
      <c r="S34" s="1421">
        <f t="shared" si="32"/>
        <v>0</v>
      </c>
      <c r="T34" s="1416">
        <f t="shared" si="33"/>
        <v>0</v>
      </c>
      <c r="U34" s="1416">
        <f t="shared" si="34"/>
        <v>0</v>
      </c>
      <c r="V34" s="605">
        <f t="shared" si="35"/>
        <v>0</v>
      </c>
    </row>
    <row r="35" spans="1:22" x14ac:dyDescent="0.35">
      <c r="A35" s="411" t="s">
        <v>248</v>
      </c>
      <c r="B35" s="450" t="s">
        <v>249</v>
      </c>
      <c r="C35" s="616">
        <v>0</v>
      </c>
      <c r="D35" s="604">
        <v>0</v>
      </c>
      <c r="E35" s="604">
        <v>0</v>
      </c>
      <c r="F35" s="605">
        <f t="shared" si="28"/>
        <v>0</v>
      </c>
      <c r="G35" s="616">
        <v>0</v>
      </c>
      <c r="H35" s="604">
        <v>0</v>
      </c>
      <c r="I35" s="604">
        <v>0</v>
      </c>
      <c r="J35" s="605">
        <f t="shared" si="29"/>
        <v>0</v>
      </c>
      <c r="K35" s="616">
        <v>0</v>
      </c>
      <c r="L35" s="604">
        <v>0</v>
      </c>
      <c r="M35" s="604">
        <v>0</v>
      </c>
      <c r="N35" s="605">
        <f t="shared" si="30"/>
        <v>0</v>
      </c>
      <c r="O35" s="616">
        <v>0</v>
      </c>
      <c r="P35" s="604">
        <v>0</v>
      </c>
      <c r="Q35" s="604">
        <v>0</v>
      </c>
      <c r="R35" s="605">
        <f t="shared" si="31"/>
        <v>0</v>
      </c>
      <c r="S35" s="1421">
        <f t="shared" si="32"/>
        <v>0</v>
      </c>
      <c r="T35" s="1416">
        <f t="shared" si="33"/>
        <v>0</v>
      </c>
      <c r="U35" s="1416">
        <f t="shared" si="34"/>
        <v>0</v>
      </c>
      <c r="V35" s="605">
        <f t="shared" si="35"/>
        <v>0</v>
      </c>
    </row>
    <row r="36" spans="1:22" x14ac:dyDescent="0.35">
      <c r="A36" s="411" t="s">
        <v>250</v>
      </c>
      <c r="B36" s="450" t="s">
        <v>251</v>
      </c>
      <c r="C36" s="616">
        <v>0</v>
      </c>
      <c r="D36" s="604">
        <v>0</v>
      </c>
      <c r="E36" s="604">
        <v>0</v>
      </c>
      <c r="F36" s="605">
        <f t="shared" si="28"/>
        <v>0</v>
      </c>
      <c r="G36" s="616">
        <v>0</v>
      </c>
      <c r="H36" s="604">
        <v>0</v>
      </c>
      <c r="I36" s="604">
        <v>0</v>
      </c>
      <c r="J36" s="605">
        <f t="shared" si="29"/>
        <v>0</v>
      </c>
      <c r="K36" s="616">
        <v>0</v>
      </c>
      <c r="L36" s="604">
        <v>0</v>
      </c>
      <c r="M36" s="604">
        <v>0</v>
      </c>
      <c r="N36" s="605">
        <f t="shared" si="30"/>
        <v>0</v>
      </c>
      <c r="O36" s="616">
        <v>0</v>
      </c>
      <c r="P36" s="604">
        <v>0</v>
      </c>
      <c r="Q36" s="604">
        <v>0</v>
      </c>
      <c r="R36" s="605">
        <f t="shared" si="31"/>
        <v>0</v>
      </c>
      <c r="S36" s="1421">
        <f t="shared" si="32"/>
        <v>0</v>
      </c>
      <c r="T36" s="1416">
        <f t="shared" si="33"/>
        <v>0</v>
      </c>
      <c r="U36" s="1416">
        <f t="shared" si="34"/>
        <v>0</v>
      </c>
      <c r="V36" s="605">
        <f t="shared" si="35"/>
        <v>0</v>
      </c>
    </row>
    <row r="37" spans="1:22" x14ac:dyDescent="0.35">
      <c r="A37" s="411" t="s">
        <v>252</v>
      </c>
      <c r="B37" s="450" t="s">
        <v>253</v>
      </c>
      <c r="C37" s="616">
        <v>0</v>
      </c>
      <c r="D37" s="604">
        <v>0</v>
      </c>
      <c r="E37" s="604">
        <v>0</v>
      </c>
      <c r="F37" s="605">
        <f t="shared" si="28"/>
        <v>0</v>
      </c>
      <c r="G37" s="616">
        <v>0</v>
      </c>
      <c r="H37" s="604">
        <v>0</v>
      </c>
      <c r="I37" s="604">
        <v>0</v>
      </c>
      <c r="J37" s="605">
        <f t="shared" si="29"/>
        <v>0</v>
      </c>
      <c r="K37" s="616">
        <v>0</v>
      </c>
      <c r="L37" s="604">
        <v>0</v>
      </c>
      <c r="M37" s="604">
        <v>0</v>
      </c>
      <c r="N37" s="605">
        <f t="shared" si="30"/>
        <v>0</v>
      </c>
      <c r="O37" s="616">
        <v>0</v>
      </c>
      <c r="P37" s="604">
        <v>0</v>
      </c>
      <c r="Q37" s="604">
        <v>0</v>
      </c>
      <c r="R37" s="605">
        <f t="shared" si="31"/>
        <v>0</v>
      </c>
      <c r="S37" s="1421">
        <f t="shared" si="32"/>
        <v>0</v>
      </c>
      <c r="T37" s="1416">
        <f t="shared" si="33"/>
        <v>0</v>
      </c>
      <c r="U37" s="1416">
        <f t="shared" si="34"/>
        <v>0</v>
      </c>
      <c r="V37" s="605">
        <f t="shared" si="35"/>
        <v>0</v>
      </c>
    </row>
    <row r="38" spans="1:22" x14ac:dyDescent="0.35">
      <c r="A38" s="411" t="s">
        <v>254</v>
      </c>
      <c r="B38" s="450" t="s">
        <v>255</v>
      </c>
      <c r="C38" s="616">
        <v>0</v>
      </c>
      <c r="D38" s="604">
        <v>0</v>
      </c>
      <c r="E38" s="604">
        <v>0</v>
      </c>
      <c r="F38" s="605">
        <f t="shared" si="28"/>
        <v>0</v>
      </c>
      <c r="G38" s="616">
        <v>0</v>
      </c>
      <c r="H38" s="604">
        <v>0</v>
      </c>
      <c r="I38" s="604">
        <v>0</v>
      </c>
      <c r="J38" s="605">
        <f t="shared" si="29"/>
        <v>0</v>
      </c>
      <c r="K38" s="616">
        <v>0</v>
      </c>
      <c r="L38" s="604">
        <v>0</v>
      </c>
      <c r="M38" s="604">
        <v>0</v>
      </c>
      <c r="N38" s="605">
        <f t="shared" si="30"/>
        <v>0</v>
      </c>
      <c r="O38" s="616">
        <v>0</v>
      </c>
      <c r="P38" s="604">
        <v>0</v>
      </c>
      <c r="Q38" s="604">
        <v>0</v>
      </c>
      <c r="R38" s="605">
        <f t="shared" si="31"/>
        <v>0</v>
      </c>
      <c r="S38" s="1421">
        <f t="shared" si="32"/>
        <v>0</v>
      </c>
      <c r="T38" s="1416">
        <f t="shared" si="33"/>
        <v>0</v>
      </c>
      <c r="U38" s="1416">
        <f t="shared" si="34"/>
        <v>0</v>
      </c>
      <c r="V38" s="605">
        <f t="shared" si="35"/>
        <v>0</v>
      </c>
    </row>
    <row r="39" spans="1:22" x14ac:dyDescent="0.35">
      <c r="A39" s="411" t="s">
        <v>256</v>
      </c>
      <c r="B39" s="450" t="s">
        <v>257</v>
      </c>
      <c r="C39" s="616">
        <v>0</v>
      </c>
      <c r="D39" s="604">
        <v>0</v>
      </c>
      <c r="E39" s="604">
        <v>0</v>
      </c>
      <c r="F39" s="605">
        <f t="shared" si="28"/>
        <v>0</v>
      </c>
      <c r="G39" s="616">
        <v>0</v>
      </c>
      <c r="H39" s="604">
        <v>0</v>
      </c>
      <c r="I39" s="604">
        <v>0</v>
      </c>
      <c r="J39" s="605">
        <f t="shared" si="29"/>
        <v>0</v>
      </c>
      <c r="K39" s="616">
        <v>0</v>
      </c>
      <c r="L39" s="604">
        <v>0</v>
      </c>
      <c r="M39" s="604">
        <v>0</v>
      </c>
      <c r="N39" s="605">
        <f t="shared" si="30"/>
        <v>0</v>
      </c>
      <c r="O39" s="616">
        <v>0</v>
      </c>
      <c r="P39" s="604">
        <v>0</v>
      </c>
      <c r="Q39" s="604">
        <v>0</v>
      </c>
      <c r="R39" s="605">
        <f t="shared" si="31"/>
        <v>0</v>
      </c>
      <c r="S39" s="1421">
        <f t="shared" si="32"/>
        <v>0</v>
      </c>
      <c r="T39" s="1416">
        <f t="shared" si="33"/>
        <v>0</v>
      </c>
      <c r="U39" s="1416">
        <f t="shared" si="34"/>
        <v>0</v>
      </c>
      <c r="V39" s="605">
        <f t="shared" si="35"/>
        <v>0</v>
      </c>
    </row>
    <row r="40" spans="1:22" x14ac:dyDescent="0.35">
      <c r="A40" s="411" t="s">
        <v>258</v>
      </c>
      <c r="B40" s="450" t="s">
        <v>259</v>
      </c>
      <c r="C40" s="616">
        <v>0</v>
      </c>
      <c r="D40" s="604">
        <v>0</v>
      </c>
      <c r="E40" s="604">
        <v>0</v>
      </c>
      <c r="F40" s="605">
        <f t="shared" si="28"/>
        <v>0</v>
      </c>
      <c r="G40" s="616">
        <v>0</v>
      </c>
      <c r="H40" s="604">
        <v>0</v>
      </c>
      <c r="I40" s="604">
        <v>0</v>
      </c>
      <c r="J40" s="605">
        <f t="shared" si="29"/>
        <v>0</v>
      </c>
      <c r="K40" s="616">
        <v>0</v>
      </c>
      <c r="L40" s="604">
        <v>0</v>
      </c>
      <c r="M40" s="604">
        <v>0</v>
      </c>
      <c r="N40" s="605">
        <f t="shared" si="30"/>
        <v>0</v>
      </c>
      <c r="O40" s="616">
        <v>0</v>
      </c>
      <c r="P40" s="604">
        <v>0</v>
      </c>
      <c r="Q40" s="604">
        <v>0</v>
      </c>
      <c r="R40" s="605">
        <f t="shared" si="31"/>
        <v>0</v>
      </c>
      <c r="S40" s="1421">
        <f t="shared" si="32"/>
        <v>0</v>
      </c>
      <c r="T40" s="1416">
        <f t="shared" si="33"/>
        <v>0</v>
      </c>
      <c r="U40" s="1416">
        <f t="shared" si="34"/>
        <v>0</v>
      </c>
      <c r="V40" s="605">
        <f t="shared" si="35"/>
        <v>0</v>
      </c>
    </row>
    <row r="41" spans="1:22" x14ac:dyDescent="0.35">
      <c r="A41" s="411" t="s">
        <v>260</v>
      </c>
      <c r="B41" s="450" t="s">
        <v>261</v>
      </c>
      <c r="C41" s="616">
        <v>0</v>
      </c>
      <c r="D41" s="604">
        <v>0</v>
      </c>
      <c r="E41" s="604">
        <v>0</v>
      </c>
      <c r="F41" s="605">
        <f t="shared" si="28"/>
        <v>0</v>
      </c>
      <c r="G41" s="616">
        <v>0</v>
      </c>
      <c r="H41" s="604">
        <v>0</v>
      </c>
      <c r="I41" s="604">
        <v>0</v>
      </c>
      <c r="J41" s="605">
        <f t="shared" si="29"/>
        <v>0</v>
      </c>
      <c r="K41" s="616">
        <v>0</v>
      </c>
      <c r="L41" s="604">
        <v>0</v>
      </c>
      <c r="M41" s="604">
        <v>0</v>
      </c>
      <c r="N41" s="605">
        <f t="shared" si="30"/>
        <v>0</v>
      </c>
      <c r="O41" s="616">
        <v>0</v>
      </c>
      <c r="P41" s="604">
        <v>0</v>
      </c>
      <c r="Q41" s="604">
        <v>0</v>
      </c>
      <c r="R41" s="605">
        <f t="shared" si="31"/>
        <v>0</v>
      </c>
      <c r="S41" s="1421">
        <f t="shared" si="32"/>
        <v>0</v>
      </c>
      <c r="T41" s="1416">
        <f t="shared" si="33"/>
        <v>0</v>
      </c>
      <c r="U41" s="1416">
        <f t="shared" si="34"/>
        <v>0</v>
      </c>
      <c r="V41" s="605">
        <f t="shared" si="35"/>
        <v>0</v>
      </c>
    </row>
    <row r="42" spans="1:22" x14ac:dyDescent="0.35">
      <c r="A42" s="411" t="s">
        <v>262</v>
      </c>
      <c r="B42" s="450" t="s">
        <v>263</v>
      </c>
      <c r="C42" s="616">
        <v>0</v>
      </c>
      <c r="D42" s="604">
        <v>0</v>
      </c>
      <c r="E42" s="604">
        <v>0</v>
      </c>
      <c r="F42" s="605">
        <f t="shared" si="28"/>
        <v>0</v>
      </c>
      <c r="G42" s="616">
        <v>0</v>
      </c>
      <c r="H42" s="604">
        <v>0</v>
      </c>
      <c r="I42" s="604">
        <v>0</v>
      </c>
      <c r="J42" s="605">
        <f t="shared" si="29"/>
        <v>0</v>
      </c>
      <c r="K42" s="616">
        <v>0</v>
      </c>
      <c r="L42" s="604">
        <v>0</v>
      </c>
      <c r="M42" s="604">
        <v>0</v>
      </c>
      <c r="N42" s="605">
        <f t="shared" si="30"/>
        <v>0</v>
      </c>
      <c r="O42" s="616">
        <v>0</v>
      </c>
      <c r="P42" s="604">
        <v>0</v>
      </c>
      <c r="Q42" s="604">
        <v>0</v>
      </c>
      <c r="R42" s="605">
        <f t="shared" si="31"/>
        <v>0</v>
      </c>
      <c r="S42" s="1421">
        <f t="shared" si="32"/>
        <v>0</v>
      </c>
      <c r="T42" s="1416">
        <f t="shared" si="33"/>
        <v>0</v>
      </c>
      <c r="U42" s="1416">
        <f t="shared" si="34"/>
        <v>0</v>
      </c>
      <c r="V42" s="605">
        <f t="shared" si="35"/>
        <v>0</v>
      </c>
    </row>
    <row r="43" spans="1:22" x14ac:dyDescent="0.35">
      <c r="A43" s="411" t="s">
        <v>264</v>
      </c>
      <c r="B43" s="450" t="s">
        <v>265</v>
      </c>
      <c r="C43" s="616">
        <v>0</v>
      </c>
      <c r="D43" s="604">
        <v>0</v>
      </c>
      <c r="E43" s="604">
        <v>0</v>
      </c>
      <c r="F43" s="605">
        <f t="shared" si="28"/>
        <v>0</v>
      </c>
      <c r="G43" s="616">
        <v>0</v>
      </c>
      <c r="H43" s="604">
        <v>0</v>
      </c>
      <c r="I43" s="604">
        <v>0</v>
      </c>
      <c r="J43" s="605">
        <f t="shared" si="29"/>
        <v>0</v>
      </c>
      <c r="K43" s="616">
        <v>0</v>
      </c>
      <c r="L43" s="604">
        <v>0</v>
      </c>
      <c r="M43" s="604">
        <v>0</v>
      </c>
      <c r="N43" s="605">
        <f t="shared" si="30"/>
        <v>0</v>
      </c>
      <c r="O43" s="616">
        <v>0</v>
      </c>
      <c r="P43" s="604">
        <v>0</v>
      </c>
      <c r="Q43" s="604">
        <v>0</v>
      </c>
      <c r="R43" s="605">
        <f t="shared" si="31"/>
        <v>0</v>
      </c>
      <c r="S43" s="1421">
        <f t="shared" si="32"/>
        <v>0</v>
      </c>
      <c r="T43" s="1416">
        <f t="shared" si="33"/>
        <v>0</v>
      </c>
      <c r="U43" s="1416">
        <f t="shared" si="34"/>
        <v>0</v>
      </c>
      <c r="V43" s="605">
        <f t="shared" si="35"/>
        <v>0</v>
      </c>
    </row>
    <row r="44" spans="1:22" ht="15" thickBot="1" x14ac:dyDescent="0.4">
      <c r="A44" s="411" t="s">
        <v>266</v>
      </c>
      <c r="B44" s="450" t="s">
        <v>267</v>
      </c>
      <c r="C44" s="621">
        <v>0</v>
      </c>
      <c r="D44" s="604">
        <v>0</v>
      </c>
      <c r="E44" s="609">
        <v>0</v>
      </c>
      <c r="F44" s="605">
        <f t="shared" si="28"/>
        <v>0</v>
      </c>
      <c r="G44" s="621">
        <v>0</v>
      </c>
      <c r="H44" s="604">
        <v>0</v>
      </c>
      <c r="I44" s="609">
        <v>0</v>
      </c>
      <c r="J44" s="605">
        <f t="shared" si="29"/>
        <v>0</v>
      </c>
      <c r="K44" s="621">
        <v>0</v>
      </c>
      <c r="L44" s="604">
        <v>0</v>
      </c>
      <c r="M44" s="609">
        <v>0</v>
      </c>
      <c r="N44" s="605">
        <f t="shared" si="30"/>
        <v>0</v>
      </c>
      <c r="O44" s="621">
        <v>0</v>
      </c>
      <c r="P44" s="604">
        <v>0</v>
      </c>
      <c r="Q44" s="609">
        <v>0</v>
      </c>
      <c r="R44" s="605">
        <f t="shared" si="31"/>
        <v>0</v>
      </c>
      <c r="S44" s="1422">
        <f t="shared" si="32"/>
        <v>0</v>
      </c>
      <c r="T44" s="1416">
        <f t="shared" si="33"/>
        <v>0</v>
      </c>
      <c r="U44" s="1418">
        <f t="shared" si="34"/>
        <v>0</v>
      </c>
      <c r="V44" s="605">
        <f t="shared" si="35"/>
        <v>0</v>
      </c>
    </row>
    <row r="45" spans="1:22" ht="15" thickBot="1" x14ac:dyDescent="0.4">
      <c r="A45" s="421" t="s">
        <v>268</v>
      </c>
      <c r="B45" s="610" t="s">
        <v>269</v>
      </c>
      <c r="C45" s="611">
        <f t="shared" ref="C45:V45" si="36">SUM(C30:C44)</f>
        <v>0</v>
      </c>
      <c r="D45" s="612">
        <f t="shared" si="36"/>
        <v>0</v>
      </c>
      <c r="E45" s="612">
        <f t="shared" si="36"/>
        <v>0</v>
      </c>
      <c r="F45" s="612">
        <f t="shared" si="36"/>
        <v>0</v>
      </c>
      <c r="G45" s="611">
        <f t="shared" si="36"/>
        <v>0</v>
      </c>
      <c r="H45" s="612">
        <f t="shared" si="36"/>
        <v>0</v>
      </c>
      <c r="I45" s="612">
        <f t="shared" si="36"/>
        <v>0</v>
      </c>
      <c r="J45" s="612">
        <f t="shared" si="36"/>
        <v>0</v>
      </c>
      <c r="K45" s="611">
        <f t="shared" si="36"/>
        <v>0</v>
      </c>
      <c r="L45" s="612">
        <f t="shared" si="36"/>
        <v>0</v>
      </c>
      <c r="M45" s="612">
        <f t="shared" si="36"/>
        <v>0</v>
      </c>
      <c r="N45" s="612">
        <f t="shared" si="36"/>
        <v>0</v>
      </c>
      <c r="O45" s="611">
        <f t="shared" si="36"/>
        <v>0</v>
      </c>
      <c r="P45" s="612">
        <f t="shared" si="36"/>
        <v>0</v>
      </c>
      <c r="Q45" s="612">
        <f t="shared" si="36"/>
        <v>0</v>
      </c>
      <c r="R45" s="612">
        <f t="shared" si="36"/>
        <v>0</v>
      </c>
      <c r="S45" s="611">
        <f t="shared" si="36"/>
        <v>0</v>
      </c>
      <c r="T45" s="612">
        <f t="shared" si="36"/>
        <v>0</v>
      </c>
      <c r="U45" s="612">
        <f t="shared" si="36"/>
        <v>0</v>
      </c>
      <c r="V45" s="612">
        <f t="shared" si="36"/>
        <v>0</v>
      </c>
    </row>
    <row r="46" spans="1:22" x14ac:dyDescent="0.35">
      <c r="A46" s="399" t="s">
        <v>270</v>
      </c>
      <c r="B46" s="538"/>
      <c r="C46" s="617"/>
      <c r="D46" s="618"/>
      <c r="E46" s="619"/>
      <c r="F46" s="620"/>
      <c r="G46" s="617"/>
      <c r="H46" s="618"/>
      <c r="I46" s="619"/>
      <c r="J46" s="620"/>
      <c r="K46" s="617"/>
      <c r="L46" s="618"/>
      <c r="M46" s="619"/>
      <c r="N46" s="620"/>
      <c r="O46" s="617"/>
      <c r="P46" s="618"/>
      <c r="Q46" s="619"/>
      <c r="R46" s="620"/>
      <c r="S46" s="1419"/>
      <c r="T46" s="1416"/>
      <c r="U46" s="1420"/>
      <c r="V46" s="620"/>
    </row>
    <row r="47" spans="1:22" x14ac:dyDescent="0.35">
      <c r="A47" s="411" t="s">
        <v>271</v>
      </c>
      <c r="B47" s="450" t="s">
        <v>272</v>
      </c>
      <c r="C47" s="616">
        <v>0</v>
      </c>
      <c r="D47" s="604">
        <v>0</v>
      </c>
      <c r="E47" s="604">
        <v>0</v>
      </c>
      <c r="F47" s="605">
        <f t="shared" ref="F47:F61" si="37">SUM(C47:E47)</f>
        <v>0</v>
      </c>
      <c r="G47" s="616">
        <v>0</v>
      </c>
      <c r="H47" s="604">
        <v>0</v>
      </c>
      <c r="I47" s="604">
        <v>0</v>
      </c>
      <c r="J47" s="605">
        <f t="shared" ref="J47:J61" si="38">SUM(G47:I47)</f>
        <v>0</v>
      </c>
      <c r="K47" s="616">
        <v>0</v>
      </c>
      <c r="L47" s="604">
        <v>0</v>
      </c>
      <c r="M47" s="604">
        <v>0</v>
      </c>
      <c r="N47" s="605">
        <f t="shared" ref="N47:N61" si="39">SUM(K47:M47)</f>
        <v>0</v>
      </c>
      <c r="O47" s="616">
        <v>0</v>
      </c>
      <c r="P47" s="604">
        <v>0</v>
      </c>
      <c r="Q47" s="604">
        <v>0</v>
      </c>
      <c r="R47" s="605">
        <f t="shared" ref="R47:R61" si="40">SUM(O47:Q47)</f>
        <v>0</v>
      </c>
      <c r="S47" s="1421">
        <f t="shared" ref="S47:S61" si="41">C47+G47+K47+O47</f>
        <v>0</v>
      </c>
      <c r="T47" s="1416">
        <f t="shared" ref="T47:T61" si="42">D47+H47+L47+P47</f>
        <v>0</v>
      </c>
      <c r="U47" s="1416">
        <f t="shared" ref="U47:U61" si="43">E47+I47+M47+Q47</f>
        <v>0</v>
      </c>
      <c r="V47" s="605">
        <f t="shared" ref="V47:V61" si="44">SUM(S47:U47)</f>
        <v>0</v>
      </c>
    </row>
    <row r="48" spans="1:22" x14ac:dyDescent="0.35">
      <c r="A48" s="411" t="s">
        <v>273</v>
      </c>
      <c r="B48" s="450" t="s">
        <v>274</v>
      </c>
      <c r="C48" s="616">
        <v>0</v>
      </c>
      <c r="D48" s="604">
        <v>0</v>
      </c>
      <c r="E48" s="604">
        <v>0</v>
      </c>
      <c r="F48" s="605">
        <f t="shared" si="37"/>
        <v>0</v>
      </c>
      <c r="G48" s="616">
        <v>0</v>
      </c>
      <c r="H48" s="604">
        <v>0</v>
      </c>
      <c r="I48" s="604">
        <v>0</v>
      </c>
      <c r="J48" s="605">
        <f t="shared" si="38"/>
        <v>0</v>
      </c>
      <c r="K48" s="616">
        <v>0</v>
      </c>
      <c r="L48" s="604">
        <v>0</v>
      </c>
      <c r="M48" s="604">
        <v>0</v>
      </c>
      <c r="N48" s="605">
        <f t="shared" si="39"/>
        <v>0</v>
      </c>
      <c r="O48" s="616">
        <v>0</v>
      </c>
      <c r="P48" s="604">
        <v>0</v>
      </c>
      <c r="Q48" s="604">
        <v>0</v>
      </c>
      <c r="R48" s="605">
        <f t="shared" si="40"/>
        <v>0</v>
      </c>
      <c r="S48" s="1421">
        <f t="shared" si="41"/>
        <v>0</v>
      </c>
      <c r="T48" s="1416">
        <f t="shared" si="42"/>
        <v>0</v>
      </c>
      <c r="U48" s="1416">
        <f t="shared" si="43"/>
        <v>0</v>
      </c>
      <c r="V48" s="605">
        <f t="shared" si="44"/>
        <v>0</v>
      </c>
    </row>
    <row r="49" spans="1:22" x14ac:dyDescent="0.35">
      <c r="A49" s="411" t="s">
        <v>275</v>
      </c>
      <c r="B49" s="450" t="s">
        <v>276</v>
      </c>
      <c r="C49" s="616">
        <v>0</v>
      </c>
      <c r="D49" s="604">
        <v>0</v>
      </c>
      <c r="E49" s="604">
        <v>0</v>
      </c>
      <c r="F49" s="605">
        <f t="shared" si="37"/>
        <v>0</v>
      </c>
      <c r="G49" s="616">
        <v>0</v>
      </c>
      <c r="H49" s="604">
        <v>0</v>
      </c>
      <c r="I49" s="604">
        <v>0</v>
      </c>
      <c r="J49" s="605">
        <f t="shared" si="38"/>
        <v>0</v>
      </c>
      <c r="K49" s="616">
        <v>0</v>
      </c>
      <c r="L49" s="604">
        <v>0</v>
      </c>
      <c r="M49" s="604">
        <v>0</v>
      </c>
      <c r="N49" s="605">
        <f t="shared" si="39"/>
        <v>0</v>
      </c>
      <c r="O49" s="616">
        <v>0</v>
      </c>
      <c r="P49" s="604">
        <v>0</v>
      </c>
      <c r="Q49" s="604">
        <v>0</v>
      </c>
      <c r="R49" s="605">
        <f t="shared" si="40"/>
        <v>0</v>
      </c>
      <c r="S49" s="1421">
        <f t="shared" si="41"/>
        <v>0</v>
      </c>
      <c r="T49" s="1416">
        <f t="shared" si="42"/>
        <v>0</v>
      </c>
      <c r="U49" s="1416">
        <f t="shared" si="43"/>
        <v>0</v>
      </c>
      <c r="V49" s="605">
        <f t="shared" si="44"/>
        <v>0</v>
      </c>
    </row>
    <row r="50" spans="1:22" x14ac:dyDescent="0.35">
      <c r="A50" s="411" t="s">
        <v>277</v>
      </c>
      <c r="B50" s="450" t="s">
        <v>278</v>
      </c>
      <c r="C50" s="616">
        <v>0</v>
      </c>
      <c r="D50" s="604">
        <v>0</v>
      </c>
      <c r="E50" s="604">
        <v>0</v>
      </c>
      <c r="F50" s="605">
        <f t="shared" si="37"/>
        <v>0</v>
      </c>
      <c r="G50" s="616">
        <v>0</v>
      </c>
      <c r="H50" s="604">
        <v>0</v>
      </c>
      <c r="I50" s="604">
        <v>0</v>
      </c>
      <c r="J50" s="605">
        <f t="shared" si="38"/>
        <v>0</v>
      </c>
      <c r="K50" s="616">
        <v>0</v>
      </c>
      <c r="L50" s="604">
        <v>0</v>
      </c>
      <c r="M50" s="604">
        <v>0</v>
      </c>
      <c r="N50" s="605">
        <f t="shared" si="39"/>
        <v>0</v>
      </c>
      <c r="O50" s="616">
        <v>0</v>
      </c>
      <c r="P50" s="604">
        <v>0</v>
      </c>
      <c r="Q50" s="604">
        <v>0</v>
      </c>
      <c r="R50" s="605">
        <f t="shared" si="40"/>
        <v>0</v>
      </c>
      <c r="S50" s="1421">
        <f t="shared" si="41"/>
        <v>0</v>
      </c>
      <c r="T50" s="1416">
        <f t="shared" si="42"/>
        <v>0</v>
      </c>
      <c r="U50" s="1416">
        <f t="shared" si="43"/>
        <v>0</v>
      </c>
      <c r="V50" s="605">
        <f t="shared" si="44"/>
        <v>0</v>
      </c>
    </row>
    <row r="51" spans="1:22" x14ac:dyDescent="0.35">
      <c r="A51" s="411" t="s">
        <v>279</v>
      </c>
      <c r="B51" s="450" t="s">
        <v>280</v>
      </c>
      <c r="C51" s="616">
        <v>0</v>
      </c>
      <c r="D51" s="604">
        <v>0</v>
      </c>
      <c r="E51" s="604">
        <v>0</v>
      </c>
      <c r="F51" s="605">
        <f t="shared" si="37"/>
        <v>0</v>
      </c>
      <c r="G51" s="616">
        <v>0</v>
      </c>
      <c r="H51" s="604">
        <v>0</v>
      </c>
      <c r="I51" s="604">
        <v>0</v>
      </c>
      <c r="J51" s="605">
        <f t="shared" si="38"/>
        <v>0</v>
      </c>
      <c r="K51" s="616">
        <v>0</v>
      </c>
      <c r="L51" s="604">
        <v>0</v>
      </c>
      <c r="M51" s="604">
        <v>0</v>
      </c>
      <c r="N51" s="605">
        <f t="shared" si="39"/>
        <v>0</v>
      </c>
      <c r="O51" s="616">
        <v>0</v>
      </c>
      <c r="P51" s="604">
        <v>0</v>
      </c>
      <c r="Q51" s="604">
        <v>0</v>
      </c>
      <c r="R51" s="605">
        <f t="shared" si="40"/>
        <v>0</v>
      </c>
      <c r="S51" s="1421">
        <f t="shared" si="41"/>
        <v>0</v>
      </c>
      <c r="T51" s="1416">
        <f t="shared" si="42"/>
        <v>0</v>
      </c>
      <c r="U51" s="1416">
        <f t="shared" si="43"/>
        <v>0</v>
      </c>
      <c r="V51" s="605">
        <f t="shared" si="44"/>
        <v>0</v>
      </c>
    </row>
    <row r="52" spans="1:22" x14ac:dyDescent="0.35">
      <c r="A52" s="411" t="s">
        <v>281</v>
      </c>
      <c r="B52" s="450" t="s">
        <v>282</v>
      </c>
      <c r="C52" s="616">
        <v>0</v>
      </c>
      <c r="D52" s="604">
        <v>0</v>
      </c>
      <c r="E52" s="604">
        <v>0</v>
      </c>
      <c r="F52" s="605">
        <f t="shared" si="37"/>
        <v>0</v>
      </c>
      <c r="G52" s="616">
        <v>0</v>
      </c>
      <c r="H52" s="604">
        <v>0</v>
      </c>
      <c r="I52" s="604">
        <v>0</v>
      </c>
      <c r="J52" s="605">
        <f t="shared" si="38"/>
        <v>0</v>
      </c>
      <c r="K52" s="616">
        <v>0</v>
      </c>
      <c r="L52" s="604">
        <v>0</v>
      </c>
      <c r="M52" s="604">
        <v>0</v>
      </c>
      <c r="N52" s="605">
        <f t="shared" si="39"/>
        <v>0</v>
      </c>
      <c r="O52" s="616">
        <v>0</v>
      </c>
      <c r="P52" s="604">
        <v>0</v>
      </c>
      <c r="Q52" s="604">
        <v>0</v>
      </c>
      <c r="R52" s="605">
        <f t="shared" si="40"/>
        <v>0</v>
      </c>
      <c r="S52" s="1421">
        <f t="shared" si="41"/>
        <v>0</v>
      </c>
      <c r="T52" s="1416">
        <f t="shared" si="42"/>
        <v>0</v>
      </c>
      <c r="U52" s="1416">
        <f t="shared" si="43"/>
        <v>0</v>
      </c>
      <c r="V52" s="605">
        <f t="shared" si="44"/>
        <v>0</v>
      </c>
    </row>
    <row r="53" spans="1:22" x14ac:dyDescent="0.35">
      <c r="A53" s="411" t="s">
        <v>283</v>
      </c>
      <c r="B53" s="450" t="s">
        <v>284</v>
      </c>
      <c r="C53" s="616">
        <v>0</v>
      </c>
      <c r="D53" s="604">
        <v>0</v>
      </c>
      <c r="E53" s="604">
        <v>0</v>
      </c>
      <c r="F53" s="605">
        <f t="shared" si="37"/>
        <v>0</v>
      </c>
      <c r="G53" s="616">
        <v>0</v>
      </c>
      <c r="H53" s="604">
        <v>0</v>
      </c>
      <c r="I53" s="604">
        <v>0</v>
      </c>
      <c r="J53" s="605">
        <f t="shared" si="38"/>
        <v>0</v>
      </c>
      <c r="K53" s="616">
        <v>0</v>
      </c>
      <c r="L53" s="604">
        <v>0</v>
      </c>
      <c r="M53" s="604">
        <v>0</v>
      </c>
      <c r="N53" s="605">
        <f t="shared" si="39"/>
        <v>0</v>
      </c>
      <c r="O53" s="616">
        <v>0</v>
      </c>
      <c r="P53" s="604">
        <v>0</v>
      </c>
      <c r="Q53" s="604">
        <v>0</v>
      </c>
      <c r="R53" s="605">
        <f t="shared" si="40"/>
        <v>0</v>
      </c>
      <c r="S53" s="1421">
        <f t="shared" si="41"/>
        <v>0</v>
      </c>
      <c r="T53" s="1416">
        <f t="shared" si="42"/>
        <v>0</v>
      </c>
      <c r="U53" s="1416">
        <f t="shared" si="43"/>
        <v>0</v>
      </c>
      <c r="V53" s="605">
        <f t="shared" si="44"/>
        <v>0</v>
      </c>
    </row>
    <row r="54" spans="1:22" x14ac:dyDescent="0.35">
      <c r="A54" s="411" t="s">
        <v>285</v>
      </c>
      <c r="B54" s="450" t="s">
        <v>286</v>
      </c>
      <c r="C54" s="616">
        <v>0</v>
      </c>
      <c r="D54" s="604">
        <v>0</v>
      </c>
      <c r="E54" s="604">
        <v>0</v>
      </c>
      <c r="F54" s="605">
        <f t="shared" si="37"/>
        <v>0</v>
      </c>
      <c r="G54" s="616">
        <v>0</v>
      </c>
      <c r="H54" s="604">
        <v>0</v>
      </c>
      <c r="I54" s="604">
        <v>0</v>
      </c>
      <c r="J54" s="605">
        <f t="shared" si="38"/>
        <v>0</v>
      </c>
      <c r="K54" s="616">
        <v>0</v>
      </c>
      <c r="L54" s="604">
        <v>0</v>
      </c>
      <c r="M54" s="604">
        <v>0</v>
      </c>
      <c r="N54" s="605">
        <f t="shared" si="39"/>
        <v>0</v>
      </c>
      <c r="O54" s="616">
        <v>0</v>
      </c>
      <c r="P54" s="604">
        <v>0</v>
      </c>
      <c r="Q54" s="604">
        <v>0</v>
      </c>
      <c r="R54" s="605">
        <f t="shared" si="40"/>
        <v>0</v>
      </c>
      <c r="S54" s="1421">
        <f t="shared" si="41"/>
        <v>0</v>
      </c>
      <c r="T54" s="1416">
        <f t="shared" si="42"/>
        <v>0</v>
      </c>
      <c r="U54" s="1416">
        <f t="shared" si="43"/>
        <v>0</v>
      </c>
      <c r="V54" s="605">
        <f t="shared" si="44"/>
        <v>0</v>
      </c>
    </row>
    <row r="55" spans="1:22" x14ac:dyDescent="0.35">
      <c r="A55" s="411" t="s">
        <v>287</v>
      </c>
      <c r="B55" s="622" t="s">
        <v>288</v>
      </c>
      <c r="C55" s="616">
        <v>0</v>
      </c>
      <c r="D55" s="604">
        <v>0</v>
      </c>
      <c r="E55" s="604">
        <v>0</v>
      </c>
      <c r="F55" s="605">
        <f t="shared" si="37"/>
        <v>0</v>
      </c>
      <c r="G55" s="616">
        <v>0</v>
      </c>
      <c r="H55" s="604">
        <v>0</v>
      </c>
      <c r="I55" s="604">
        <v>0</v>
      </c>
      <c r="J55" s="605">
        <f t="shared" si="38"/>
        <v>0</v>
      </c>
      <c r="K55" s="616">
        <v>0</v>
      </c>
      <c r="L55" s="604">
        <v>0</v>
      </c>
      <c r="M55" s="604">
        <v>0</v>
      </c>
      <c r="N55" s="605">
        <f t="shared" si="39"/>
        <v>0</v>
      </c>
      <c r="O55" s="616">
        <v>0</v>
      </c>
      <c r="P55" s="604">
        <v>0</v>
      </c>
      <c r="Q55" s="604">
        <v>0</v>
      </c>
      <c r="R55" s="605">
        <f t="shared" si="40"/>
        <v>0</v>
      </c>
      <c r="S55" s="1421">
        <f t="shared" si="41"/>
        <v>0</v>
      </c>
      <c r="T55" s="1416">
        <f t="shared" si="42"/>
        <v>0</v>
      </c>
      <c r="U55" s="1416">
        <f t="shared" si="43"/>
        <v>0</v>
      </c>
      <c r="V55" s="605">
        <f t="shared" si="44"/>
        <v>0</v>
      </c>
    </row>
    <row r="56" spans="1:22" x14ac:dyDescent="0.35">
      <c r="A56" s="411" t="s">
        <v>289</v>
      </c>
      <c r="B56" s="450" t="s">
        <v>290</v>
      </c>
      <c r="C56" s="616">
        <v>0</v>
      </c>
      <c r="D56" s="604">
        <v>0</v>
      </c>
      <c r="E56" s="604">
        <v>0</v>
      </c>
      <c r="F56" s="605">
        <f t="shared" si="37"/>
        <v>0</v>
      </c>
      <c r="G56" s="616">
        <v>0</v>
      </c>
      <c r="H56" s="604">
        <v>0</v>
      </c>
      <c r="I56" s="604">
        <v>0</v>
      </c>
      <c r="J56" s="605">
        <f t="shared" si="38"/>
        <v>0</v>
      </c>
      <c r="K56" s="616">
        <v>0</v>
      </c>
      <c r="L56" s="604">
        <v>0</v>
      </c>
      <c r="M56" s="604">
        <v>0</v>
      </c>
      <c r="N56" s="605">
        <f t="shared" si="39"/>
        <v>0</v>
      </c>
      <c r="O56" s="616">
        <v>0</v>
      </c>
      <c r="P56" s="604">
        <v>0</v>
      </c>
      <c r="Q56" s="604">
        <v>0</v>
      </c>
      <c r="R56" s="605">
        <f t="shared" si="40"/>
        <v>0</v>
      </c>
      <c r="S56" s="1421">
        <f t="shared" si="41"/>
        <v>0</v>
      </c>
      <c r="T56" s="1416">
        <f t="shared" si="42"/>
        <v>0</v>
      </c>
      <c r="U56" s="1416">
        <f t="shared" si="43"/>
        <v>0</v>
      </c>
      <c r="V56" s="605">
        <f t="shared" si="44"/>
        <v>0</v>
      </c>
    </row>
    <row r="57" spans="1:22" x14ac:dyDescent="0.35">
      <c r="A57" s="411" t="s">
        <v>291</v>
      </c>
      <c r="B57" s="450" t="s">
        <v>292</v>
      </c>
      <c r="C57" s="616">
        <v>0</v>
      </c>
      <c r="D57" s="604">
        <v>0</v>
      </c>
      <c r="E57" s="604">
        <v>0</v>
      </c>
      <c r="F57" s="605">
        <f t="shared" si="37"/>
        <v>0</v>
      </c>
      <c r="G57" s="616">
        <v>0</v>
      </c>
      <c r="H57" s="604">
        <v>0</v>
      </c>
      <c r="I57" s="604">
        <v>0</v>
      </c>
      <c r="J57" s="605">
        <f t="shared" si="38"/>
        <v>0</v>
      </c>
      <c r="K57" s="616">
        <v>0</v>
      </c>
      <c r="L57" s="604">
        <v>0</v>
      </c>
      <c r="M57" s="604">
        <v>0</v>
      </c>
      <c r="N57" s="605">
        <f t="shared" si="39"/>
        <v>0</v>
      </c>
      <c r="O57" s="616">
        <v>0</v>
      </c>
      <c r="P57" s="604">
        <v>0</v>
      </c>
      <c r="Q57" s="604">
        <v>0</v>
      </c>
      <c r="R57" s="605">
        <f t="shared" si="40"/>
        <v>0</v>
      </c>
      <c r="S57" s="1421">
        <f t="shared" si="41"/>
        <v>0</v>
      </c>
      <c r="T57" s="1416">
        <f t="shared" si="42"/>
        <v>0</v>
      </c>
      <c r="U57" s="1416">
        <f t="shared" si="43"/>
        <v>0</v>
      </c>
      <c r="V57" s="605">
        <f t="shared" si="44"/>
        <v>0</v>
      </c>
    </row>
    <row r="58" spans="1:22" x14ac:dyDescent="0.35">
      <c r="A58" s="411" t="s">
        <v>293</v>
      </c>
      <c r="B58" s="450" t="s">
        <v>294</v>
      </c>
      <c r="C58" s="616">
        <v>0</v>
      </c>
      <c r="D58" s="604">
        <v>0</v>
      </c>
      <c r="E58" s="604">
        <v>0</v>
      </c>
      <c r="F58" s="605">
        <f t="shared" si="37"/>
        <v>0</v>
      </c>
      <c r="G58" s="616">
        <v>0</v>
      </c>
      <c r="H58" s="604">
        <v>0</v>
      </c>
      <c r="I58" s="604">
        <v>0</v>
      </c>
      <c r="J58" s="605">
        <f t="shared" si="38"/>
        <v>0</v>
      </c>
      <c r="K58" s="616">
        <v>0</v>
      </c>
      <c r="L58" s="604">
        <v>0</v>
      </c>
      <c r="M58" s="604">
        <v>0</v>
      </c>
      <c r="N58" s="605">
        <f t="shared" si="39"/>
        <v>0</v>
      </c>
      <c r="O58" s="616">
        <v>0</v>
      </c>
      <c r="P58" s="604">
        <v>0</v>
      </c>
      <c r="Q58" s="604">
        <v>0</v>
      </c>
      <c r="R58" s="605">
        <f t="shared" si="40"/>
        <v>0</v>
      </c>
      <c r="S58" s="1421">
        <f t="shared" si="41"/>
        <v>0</v>
      </c>
      <c r="T58" s="1416">
        <f t="shared" si="42"/>
        <v>0</v>
      </c>
      <c r="U58" s="1416">
        <f t="shared" si="43"/>
        <v>0</v>
      </c>
      <c r="V58" s="605">
        <f t="shared" si="44"/>
        <v>0</v>
      </c>
    </row>
    <row r="59" spans="1:22" x14ac:dyDescent="0.35">
      <c r="A59" s="411" t="s">
        <v>295</v>
      </c>
      <c r="B59" s="450" t="s">
        <v>296</v>
      </c>
      <c r="C59" s="616">
        <v>0</v>
      </c>
      <c r="D59" s="604">
        <v>0</v>
      </c>
      <c r="E59" s="604">
        <v>0</v>
      </c>
      <c r="F59" s="605">
        <f t="shared" si="37"/>
        <v>0</v>
      </c>
      <c r="G59" s="616">
        <v>0</v>
      </c>
      <c r="H59" s="604">
        <v>0</v>
      </c>
      <c r="I59" s="604">
        <v>0</v>
      </c>
      <c r="J59" s="605">
        <f t="shared" si="38"/>
        <v>0</v>
      </c>
      <c r="K59" s="616">
        <v>0</v>
      </c>
      <c r="L59" s="604">
        <v>0</v>
      </c>
      <c r="M59" s="604">
        <v>0</v>
      </c>
      <c r="N59" s="605">
        <f t="shared" si="39"/>
        <v>0</v>
      </c>
      <c r="O59" s="616">
        <v>0</v>
      </c>
      <c r="P59" s="604">
        <v>0</v>
      </c>
      <c r="Q59" s="604">
        <v>0</v>
      </c>
      <c r="R59" s="605">
        <f t="shared" si="40"/>
        <v>0</v>
      </c>
      <c r="S59" s="1421">
        <f t="shared" si="41"/>
        <v>0</v>
      </c>
      <c r="T59" s="1416">
        <f t="shared" si="42"/>
        <v>0</v>
      </c>
      <c r="U59" s="1416">
        <f t="shared" si="43"/>
        <v>0</v>
      </c>
      <c r="V59" s="605">
        <f t="shared" si="44"/>
        <v>0</v>
      </c>
    </row>
    <row r="60" spans="1:22" x14ac:dyDescent="0.35">
      <c r="A60" s="411" t="s">
        <v>297</v>
      </c>
      <c r="B60" s="450" t="s">
        <v>298</v>
      </c>
      <c r="C60" s="616">
        <v>0</v>
      </c>
      <c r="D60" s="604">
        <v>0</v>
      </c>
      <c r="E60" s="604">
        <v>0</v>
      </c>
      <c r="F60" s="605">
        <f t="shared" si="37"/>
        <v>0</v>
      </c>
      <c r="G60" s="616">
        <v>0</v>
      </c>
      <c r="H60" s="604">
        <v>0</v>
      </c>
      <c r="I60" s="604">
        <v>0</v>
      </c>
      <c r="J60" s="605">
        <f t="shared" si="38"/>
        <v>0</v>
      </c>
      <c r="K60" s="616">
        <v>0</v>
      </c>
      <c r="L60" s="604">
        <v>0</v>
      </c>
      <c r="M60" s="604">
        <v>0</v>
      </c>
      <c r="N60" s="605">
        <f t="shared" si="39"/>
        <v>0</v>
      </c>
      <c r="O60" s="616">
        <v>0</v>
      </c>
      <c r="P60" s="604">
        <v>0</v>
      </c>
      <c r="Q60" s="604">
        <v>0</v>
      </c>
      <c r="R60" s="605">
        <f t="shared" si="40"/>
        <v>0</v>
      </c>
      <c r="S60" s="1421">
        <f t="shared" si="41"/>
        <v>0</v>
      </c>
      <c r="T60" s="1416">
        <f t="shared" si="42"/>
        <v>0</v>
      </c>
      <c r="U60" s="1416">
        <f t="shared" si="43"/>
        <v>0</v>
      </c>
      <c r="V60" s="605">
        <f t="shared" si="44"/>
        <v>0</v>
      </c>
    </row>
    <row r="61" spans="1:22" ht="15" thickBot="1" x14ac:dyDescent="0.4">
      <c r="A61" s="411" t="s">
        <v>299</v>
      </c>
      <c r="B61" s="450" t="s">
        <v>300</v>
      </c>
      <c r="C61" s="621">
        <v>0</v>
      </c>
      <c r="D61" s="604">
        <v>0</v>
      </c>
      <c r="E61" s="609">
        <v>0</v>
      </c>
      <c r="F61" s="605">
        <f t="shared" si="37"/>
        <v>0</v>
      </c>
      <c r="G61" s="621">
        <v>0</v>
      </c>
      <c r="H61" s="604">
        <v>0</v>
      </c>
      <c r="I61" s="609">
        <v>0</v>
      </c>
      <c r="J61" s="605">
        <f t="shared" si="38"/>
        <v>0</v>
      </c>
      <c r="K61" s="621">
        <v>0</v>
      </c>
      <c r="L61" s="604">
        <v>0</v>
      </c>
      <c r="M61" s="609">
        <v>0</v>
      </c>
      <c r="N61" s="605">
        <f t="shared" si="39"/>
        <v>0</v>
      </c>
      <c r="O61" s="621">
        <v>0</v>
      </c>
      <c r="P61" s="604">
        <v>0</v>
      </c>
      <c r="Q61" s="609">
        <v>0</v>
      </c>
      <c r="R61" s="605">
        <f t="shared" si="40"/>
        <v>0</v>
      </c>
      <c r="S61" s="1422">
        <f t="shared" si="41"/>
        <v>0</v>
      </c>
      <c r="T61" s="1416">
        <f t="shared" si="42"/>
        <v>0</v>
      </c>
      <c r="U61" s="1418">
        <f t="shared" si="43"/>
        <v>0</v>
      </c>
      <c r="V61" s="605">
        <f t="shared" si="44"/>
        <v>0</v>
      </c>
    </row>
    <row r="62" spans="1:22" ht="15" thickBot="1" x14ac:dyDescent="0.4">
      <c r="A62" s="421">
        <v>50389</v>
      </c>
      <c r="B62" s="610" t="s">
        <v>301</v>
      </c>
      <c r="C62" s="611">
        <f t="shared" ref="C62:V62" si="45">SUM(C47:C61)</f>
        <v>0</v>
      </c>
      <c r="D62" s="612">
        <f t="shared" si="45"/>
        <v>0</v>
      </c>
      <c r="E62" s="612">
        <f t="shared" si="45"/>
        <v>0</v>
      </c>
      <c r="F62" s="612">
        <f t="shared" si="45"/>
        <v>0</v>
      </c>
      <c r="G62" s="611">
        <f t="shared" si="45"/>
        <v>0</v>
      </c>
      <c r="H62" s="612">
        <f t="shared" si="45"/>
        <v>0</v>
      </c>
      <c r="I62" s="612">
        <f t="shared" si="45"/>
        <v>0</v>
      </c>
      <c r="J62" s="612">
        <f t="shared" si="45"/>
        <v>0</v>
      </c>
      <c r="K62" s="611">
        <f t="shared" si="45"/>
        <v>0</v>
      </c>
      <c r="L62" s="612">
        <f t="shared" si="45"/>
        <v>0</v>
      </c>
      <c r="M62" s="612">
        <f t="shared" si="45"/>
        <v>0</v>
      </c>
      <c r="N62" s="612">
        <f t="shared" si="45"/>
        <v>0</v>
      </c>
      <c r="O62" s="611">
        <f t="shared" si="45"/>
        <v>0</v>
      </c>
      <c r="P62" s="612">
        <f t="shared" si="45"/>
        <v>0</v>
      </c>
      <c r="Q62" s="612">
        <f t="shared" si="45"/>
        <v>0</v>
      </c>
      <c r="R62" s="612">
        <f t="shared" si="45"/>
        <v>0</v>
      </c>
      <c r="S62" s="611">
        <f t="shared" si="45"/>
        <v>0</v>
      </c>
      <c r="T62" s="612">
        <f t="shared" si="45"/>
        <v>0</v>
      </c>
      <c r="U62" s="612">
        <f t="shared" si="45"/>
        <v>0</v>
      </c>
      <c r="V62" s="612">
        <f t="shared" si="45"/>
        <v>0</v>
      </c>
    </row>
    <row r="63" spans="1:22" x14ac:dyDescent="0.35">
      <c r="A63" s="399" t="s">
        <v>302</v>
      </c>
      <c r="B63" s="538"/>
      <c r="C63" s="617"/>
      <c r="D63" s="618"/>
      <c r="E63" s="619"/>
      <c r="F63" s="620"/>
      <c r="G63" s="617"/>
      <c r="H63" s="618"/>
      <c r="I63" s="619"/>
      <c r="J63" s="620"/>
      <c r="K63" s="617"/>
      <c r="L63" s="618"/>
      <c r="M63" s="619"/>
      <c r="N63" s="620"/>
      <c r="O63" s="617"/>
      <c r="P63" s="618"/>
      <c r="Q63" s="619"/>
      <c r="R63" s="620"/>
      <c r="S63" s="1419"/>
      <c r="T63" s="1416"/>
      <c r="U63" s="1420"/>
      <c r="V63" s="620"/>
    </row>
    <row r="64" spans="1:22" x14ac:dyDescent="0.35">
      <c r="A64" s="411" t="s">
        <v>303</v>
      </c>
      <c r="B64" s="450" t="s">
        <v>304</v>
      </c>
      <c r="C64" s="616">
        <v>0</v>
      </c>
      <c r="D64" s="604">
        <v>0</v>
      </c>
      <c r="E64" s="604">
        <v>0</v>
      </c>
      <c r="F64" s="605">
        <f t="shared" ref="F64:F83" si="46">SUM(C64:E64)</f>
        <v>0</v>
      </c>
      <c r="G64" s="616">
        <v>0</v>
      </c>
      <c r="H64" s="604">
        <v>0</v>
      </c>
      <c r="I64" s="604">
        <v>0</v>
      </c>
      <c r="J64" s="605">
        <f t="shared" ref="J64:J78" si="47">SUM(G64:I64)</f>
        <v>0</v>
      </c>
      <c r="K64" s="616">
        <v>0</v>
      </c>
      <c r="L64" s="604">
        <v>0</v>
      </c>
      <c r="M64" s="604">
        <v>0</v>
      </c>
      <c r="N64" s="605">
        <f t="shared" ref="N64:N78" si="48">SUM(K64:M64)</f>
        <v>0</v>
      </c>
      <c r="O64" s="616">
        <v>0</v>
      </c>
      <c r="P64" s="604">
        <v>0</v>
      </c>
      <c r="Q64" s="604">
        <v>0</v>
      </c>
      <c r="R64" s="605">
        <f t="shared" ref="R64:R78" si="49">SUM(O64:Q64)</f>
        <v>0</v>
      </c>
      <c r="S64" s="1421">
        <f t="shared" ref="S64:S81" si="50">C64+G64+K64+O64</f>
        <v>0</v>
      </c>
      <c r="T64" s="1416">
        <f t="shared" ref="T64:T81" si="51">D64+H64+L64+P64</f>
        <v>0</v>
      </c>
      <c r="U64" s="1416">
        <f t="shared" ref="U64:U81" si="52">E64+I64+M64+Q64</f>
        <v>0</v>
      </c>
      <c r="V64" s="605">
        <f t="shared" ref="V64:V78" si="53">SUM(S64:U64)</f>
        <v>0</v>
      </c>
    </row>
    <row r="65" spans="1:22" x14ac:dyDescent="0.35">
      <c r="A65" s="411" t="s">
        <v>305</v>
      </c>
      <c r="B65" s="450" t="s">
        <v>306</v>
      </c>
      <c r="C65" s="616">
        <v>0</v>
      </c>
      <c r="D65" s="604">
        <v>0</v>
      </c>
      <c r="E65" s="604">
        <v>0</v>
      </c>
      <c r="F65" s="605">
        <f t="shared" si="46"/>
        <v>0</v>
      </c>
      <c r="G65" s="616">
        <v>0</v>
      </c>
      <c r="H65" s="604">
        <v>0</v>
      </c>
      <c r="I65" s="604">
        <v>0</v>
      </c>
      <c r="J65" s="605">
        <f t="shared" si="47"/>
        <v>0</v>
      </c>
      <c r="K65" s="616">
        <v>0</v>
      </c>
      <c r="L65" s="604">
        <v>0</v>
      </c>
      <c r="M65" s="604">
        <v>0</v>
      </c>
      <c r="N65" s="605">
        <f t="shared" si="48"/>
        <v>0</v>
      </c>
      <c r="O65" s="616">
        <v>0</v>
      </c>
      <c r="P65" s="604">
        <v>0</v>
      </c>
      <c r="Q65" s="604">
        <v>0</v>
      </c>
      <c r="R65" s="605">
        <f t="shared" si="49"/>
        <v>0</v>
      </c>
      <c r="S65" s="1421">
        <f t="shared" si="50"/>
        <v>0</v>
      </c>
      <c r="T65" s="1416">
        <f t="shared" si="51"/>
        <v>0</v>
      </c>
      <c r="U65" s="1416">
        <f t="shared" si="52"/>
        <v>0</v>
      </c>
      <c r="V65" s="605">
        <f t="shared" si="53"/>
        <v>0</v>
      </c>
    </row>
    <row r="66" spans="1:22" x14ac:dyDescent="0.35">
      <c r="A66" s="411" t="s">
        <v>307</v>
      </c>
      <c r="B66" s="450" t="s">
        <v>308</v>
      </c>
      <c r="C66" s="616">
        <v>0</v>
      </c>
      <c r="D66" s="604">
        <v>0</v>
      </c>
      <c r="E66" s="604">
        <v>0</v>
      </c>
      <c r="F66" s="605">
        <f t="shared" si="46"/>
        <v>0</v>
      </c>
      <c r="G66" s="616">
        <v>0</v>
      </c>
      <c r="H66" s="604">
        <v>0</v>
      </c>
      <c r="I66" s="604">
        <v>0</v>
      </c>
      <c r="J66" s="605">
        <f t="shared" si="47"/>
        <v>0</v>
      </c>
      <c r="K66" s="616">
        <v>0</v>
      </c>
      <c r="L66" s="604">
        <v>0</v>
      </c>
      <c r="M66" s="604">
        <v>0</v>
      </c>
      <c r="N66" s="605">
        <f t="shared" si="48"/>
        <v>0</v>
      </c>
      <c r="O66" s="616">
        <v>0</v>
      </c>
      <c r="P66" s="604">
        <v>0</v>
      </c>
      <c r="Q66" s="604">
        <v>0</v>
      </c>
      <c r="R66" s="605">
        <f t="shared" si="49"/>
        <v>0</v>
      </c>
      <c r="S66" s="1421">
        <f t="shared" si="50"/>
        <v>0</v>
      </c>
      <c r="T66" s="1416">
        <f t="shared" si="51"/>
        <v>0</v>
      </c>
      <c r="U66" s="1416">
        <f t="shared" si="52"/>
        <v>0</v>
      </c>
      <c r="V66" s="605">
        <f t="shared" si="53"/>
        <v>0</v>
      </c>
    </row>
    <row r="67" spans="1:22" x14ac:dyDescent="0.35">
      <c r="A67" s="411" t="s">
        <v>309</v>
      </c>
      <c r="B67" s="450" t="s">
        <v>310</v>
      </c>
      <c r="C67" s="616">
        <v>0</v>
      </c>
      <c r="D67" s="604">
        <v>0</v>
      </c>
      <c r="E67" s="604">
        <v>0</v>
      </c>
      <c r="F67" s="605">
        <f t="shared" si="46"/>
        <v>0</v>
      </c>
      <c r="G67" s="616">
        <v>0</v>
      </c>
      <c r="H67" s="604">
        <v>0</v>
      </c>
      <c r="I67" s="604">
        <v>0</v>
      </c>
      <c r="J67" s="605">
        <f t="shared" si="47"/>
        <v>0</v>
      </c>
      <c r="K67" s="616">
        <v>0</v>
      </c>
      <c r="L67" s="604">
        <v>0</v>
      </c>
      <c r="M67" s="604">
        <v>0</v>
      </c>
      <c r="N67" s="605">
        <f t="shared" si="48"/>
        <v>0</v>
      </c>
      <c r="O67" s="616">
        <v>0</v>
      </c>
      <c r="P67" s="604">
        <v>0</v>
      </c>
      <c r="Q67" s="604">
        <v>0</v>
      </c>
      <c r="R67" s="605">
        <f t="shared" si="49"/>
        <v>0</v>
      </c>
      <c r="S67" s="1421">
        <f t="shared" si="50"/>
        <v>0</v>
      </c>
      <c r="T67" s="1416">
        <f t="shared" si="51"/>
        <v>0</v>
      </c>
      <c r="U67" s="1416">
        <f t="shared" si="52"/>
        <v>0</v>
      </c>
      <c r="V67" s="605">
        <f t="shared" si="53"/>
        <v>0</v>
      </c>
    </row>
    <row r="68" spans="1:22" x14ac:dyDescent="0.35">
      <c r="A68" s="411" t="s">
        <v>311</v>
      </c>
      <c r="B68" s="450" t="s">
        <v>312</v>
      </c>
      <c r="C68" s="616">
        <v>0</v>
      </c>
      <c r="D68" s="604">
        <v>0</v>
      </c>
      <c r="E68" s="604">
        <v>0</v>
      </c>
      <c r="F68" s="605">
        <f t="shared" si="46"/>
        <v>0</v>
      </c>
      <c r="G68" s="616">
        <v>0</v>
      </c>
      <c r="H68" s="604">
        <v>0</v>
      </c>
      <c r="I68" s="604">
        <v>0</v>
      </c>
      <c r="J68" s="605">
        <f t="shared" si="47"/>
        <v>0</v>
      </c>
      <c r="K68" s="616">
        <v>0</v>
      </c>
      <c r="L68" s="604">
        <v>0</v>
      </c>
      <c r="M68" s="604">
        <v>0</v>
      </c>
      <c r="N68" s="605">
        <f t="shared" si="48"/>
        <v>0</v>
      </c>
      <c r="O68" s="616">
        <v>0</v>
      </c>
      <c r="P68" s="604">
        <v>0</v>
      </c>
      <c r="Q68" s="604">
        <v>0</v>
      </c>
      <c r="R68" s="605">
        <f t="shared" si="49"/>
        <v>0</v>
      </c>
      <c r="S68" s="1421">
        <f t="shared" si="50"/>
        <v>0</v>
      </c>
      <c r="T68" s="1416">
        <f t="shared" si="51"/>
        <v>0</v>
      </c>
      <c r="U68" s="1416">
        <f t="shared" si="52"/>
        <v>0</v>
      </c>
      <c r="V68" s="605">
        <f t="shared" si="53"/>
        <v>0</v>
      </c>
    </row>
    <row r="69" spans="1:22" x14ac:dyDescent="0.35">
      <c r="A69" s="411" t="s">
        <v>313</v>
      </c>
      <c r="B69" s="450" t="s">
        <v>314</v>
      </c>
      <c r="C69" s="616">
        <v>0</v>
      </c>
      <c r="D69" s="604">
        <v>0</v>
      </c>
      <c r="E69" s="604">
        <v>0</v>
      </c>
      <c r="F69" s="605">
        <f t="shared" si="46"/>
        <v>0</v>
      </c>
      <c r="G69" s="616">
        <v>0</v>
      </c>
      <c r="H69" s="604">
        <v>0</v>
      </c>
      <c r="I69" s="604">
        <v>0</v>
      </c>
      <c r="J69" s="605">
        <f t="shared" si="47"/>
        <v>0</v>
      </c>
      <c r="K69" s="616">
        <v>0</v>
      </c>
      <c r="L69" s="604">
        <v>0</v>
      </c>
      <c r="M69" s="604">
        <v>0</v>
      </c>
      <c r="N69" s="605">
        <f t="shared" si="48"/>
        <v>0</v>
      </c>
      <c r="O69" s="616">
        <v>0</v>
      </c>
      <c r="P69" s="604">
        <v>0</v>
      </c>
      <c r="Q69" s="604">
        <v>0</v>
      </c>
      <c r="R69" s="605">
        <f t="shared" si="49"/>
        <v>0</v>
      </c>
      <c r="S69" s="1421">
        <f t="shared" si="50"/>
        <v>0</v>
      </c>
      <c r="T69" s="1416">
        <f t="shared" si="51"/>
        <v>0</v>
      </c>
      <c r="U69" s="1416">
        <f t="shared" si="52"/>
        <v>0</v>
      </c>
      <c r="V69" s="605">
        <f t="shared" si="53"/>
        <v>0</v>
      </c>
    </row>
    <row r="70" spans="1:22" x14ac:dyDescent="0.35">
      <c r="A70" s="411" t="s">
        <v>315</v>
      </c>
      <c r="B70" s="450" t="s">
        <v>316</v>
      </c>
      <c r="C70" s="616">
        <v>0</v>
      </c>
      <c r="D70" s="604">
        <v>0</v>
      </c>
      <c r="E70" s="604">
        <v>0</v>
      </c>
      <c r="F70" s="605">
        <f t="shared" si="46"/>
        <v>0</v>
      </c>
      <c r="G70" s="616">
        <v>0</v>
      </c>
      <c r="H70" s="604">
        <v>0</v>
      </c>
      <c r="I70" s="604">
        <v>0</v>
      </c>
      <c r="J70" s="605">
        <f t="shared" si="47"/>
        <v>0</v>
      </c>
      <c r="K70" s="616">
        <v>0</v>
      </c>
      <c r="L70" s="604">
        <v>0</v>
      </c>
      <c r="M70" s="604">
        <v>0</v>
      </c>
      <c r="N70" s="605">
        <f t="shared" si="48"/>
        <v>0</v>
      </c>
      <c r="O70" s="616">
        <v>0</v>
      </c>
      <c r="P70" s="604">
        <v>0</v>
      </c>
      <c r="Q70" s="604">
        <v>0</v>
      </c>
      <c r="R70" s="605">
        <f t="shared" si="49"/>
        <v>0</v>
      </c>
      <c r="S70" s="1421">
        <f t="shared" si="50"/>
        <v>0</v>
      </c>
      <c r="T70" s="1416">
        <f t="shared" si="51"/>
        <v>0</v>
      </c>
      <c r="U70" s="1416">
        <f t="shared" si="52"/>
        <v>0</v>
      </c>
      <c r="V70" s="605">
        <f t="shared" si="53"/>
        <v>0</v>
      </c>
    </row>
    <row r="71" spans="1:22" x14ac:dyDescent="0.35">
      <c r="A71" s="411" t="s">
        <v>317</v>
      </c>
      <c r="B71" s="450" t="s">
        <v>318</v>
      </c>
      <c r="C71" s="616">
        <v>0</v>
      </c>
      <c r="D71" s="604">
        <v>0</v>
      </c>
      <c r="E71" s="604">
        <v>0</v>
      </c>
      <c r="F71" s="605">
        <f t="shared" si="46"/>
        <v>0</v>
      </c>
      <c r="G71" s="616">
        <v>0</v>
      </c>
      <c r="H71" s="604">
        <v>0</v>
      </c>
      <c r="I71" s="604">
        <v>0</v>
      </c>
      <c r="J71" s="605">
        <f t="shared" si="47"/>
        <v>0</v>
      </c>
      <c r="K71" s="616">
        <v>0</v>
      </c>
      <c r="L71" s="604">
        <v>0</v>
      </c>
      <c r="M71" s="604">
        <v>0</v>
      </c>
      <c r="N71" s="605">
        <f t="shared" si="48"/>
        <v>0</v>
      </c>
      <c r="O71" s="616">
        <v>0</v>
      </c>
      <c r="P71" s="604">
        <v>0</v>
      </c>
      <c r="Q71" s="604">
        <v>0</v>
      </c>
      <c r="R71" s="605">
        <f t="shared" si="49"/>
        <v>0</v>
      </c>
      <c r="S71" s="1421">
        <f t="shared" si="50"/>
        <v>0</v>
      </c>
      <c r="T71" s="1416">
        <f t="shared" si="51"/>
        <v>0</v>
      </c>
      <c r="U71" s="1416">
        <f t="shared" si="52"/>
        <v>0</v>
      </c>
      <c r="V71" s="605">
        <f t="shared" si="53"/>
        <v>0</v>
      </c>
    </row>
    <row r="72" spans="1:22" x14ac:dyDescent="0.35">
      <c r="A72" s="411" t="s">
        <v>319</v>
      </c>
      <c r="B72" s="450" t="s">
        <v>320</v>
      </c>
      <c r="C72" s="616">
        <v>0</v>
      </c>
      <c r="D72" s="604">
        <v>0</v>
      </c>
      <c r="E72" s="604">
        <v>0</v>
      </c>
      <c r="F72" s="605">
        <f t="shared" si="46"/>
        <v>0</v>
      </c>
      <c r="G72" s="616">
        <v>0</v>
      </c>
      <c r="H72" s="604">
        <v>0</v>
      </c>
      <c r="I72" s="604">
        <v>0</v>
      </c>
      <c r="J72" s="605">
        <f t="shared" si="47"/>
        <v>0</v>
      </c>
      <c r="K72" s="616">
        <v>0</v>
      </c>
      <c r="L72" s="604">
        <v>0</v>
      </c>
      <c r="M72" s="604">
        <v>0</v>
      </c>
      <c r="N72" s="605">
        <f t="shared" si="48"/>
        <v>0</v>
      </c>
      <c r="O72" s="616">
        <v>0</v>
      </c>
      <c r="P72" s="604">
        <v>0</v>
      </c>
      <c r="Q72" s="604">
        <v>0</v>
      </c>
      <c r="R72" s="605">
        <f t="shared" si="49"/>
        <v>0</v>
      </c>
      <c r="S72" s="1421">
        <f t="shared" si="50"/>
        <v>0</v>
      </c>
      <c r="T72" s="1416">
        <f t="shared" si="51"/>
        <v>0</v>
      </c>
      <c r="U72" s="1416">
        <f t="shared" si="52"/>
        <v>0</v>
      </c>
      <c r="V72" s="605">
        <f t="shared" si="53"/>
        <v>0</v>
      </c>
    </row>
    <row r="73" spans="1:22" x14ac:dyDescent="0.35">
      <c r="A73" s="411" t="s">
        <v>321</v>
      </c>
      <c r="B73" s="450" t="s">
        <v>322</v>
      </c>
      <c r="C73" s="616">
        <v>0</v>
      </c>
      <c r="D73" s="604">
        <v>0</v>
      </c>
      <c r="E73" s="604">
        <v>0</v>
      </c>
      <c r="F73" s="605">
        <f t="shared" si="46"/>
        <v>0</v>
      </c>
      <c r="G73" s="616">
        <v>0</v>
      </c>
      <c r="H73" s="604">
        <v>0</v>
      </c>
      <c r="I73" s="604">
        <v>0</v>
      </c>
      <c r="J73" s="605">
        <f t="shared" si="47"/>
        <v>0</v>
      </c>
      <c r="K73" s="616">
        <v>0</v>
      </c>
      <c r="L73" s="604">
        <v>0</v>
      </c>
      <c r="M73" s="604">
        <v>0</v>
      </c>
      <c r="N73" s="605">
        <f t="shared" si="48"/>
        <v>0</v>
      </c>
      <c r="O73" s="616">
        <v>0</v>
      </c>
      <c r="P73" s="604">
        <v>0</v>
      </c>
      <c r="Q73" s="604">
        <v>0</v>
      </c>
      <c r="R73" s="605">
        <f t="shared" si="49"/>
        <v>0</v>
      </c>
      <c r="S73" s="1421">
        <f t="shared" si="50"/>
        <v>0</v>
      </c>
      <c r="T73" s="1416">
        <f t="shared" si="51"/>
        <v>0</v>
      </c>
      <c r="U73" s="1416">
        <f t="shared" si="52"/>
        <v>0</v>
      </c>
      <c r="V73" s="605">
        <f t="shared" si="53"/>
        <v>0</v>
      </c>
    </row>
    <row r="74" spans="1:22" x14ac:dyDescent="0.35">
      <c r="A74" s="411" t="s">
        <v>323</v>
      </c>
      <c r="B74" s="450" t="s">
        <v>324</v>
      </c>
      <c r="C74" s="616">
        <v>0</v>
      </c>
      <c r="D74" s="604">
        <v>0</v>
      </c>
      <c r="E74" s="604">
        <v>0</v>
      </c>
      <c r="F74" s="605">
        <f t="shared" si="46"/>
        <v>0</v>
      </c>
      <c r="G74" s="616">
        <v>0</v>
      </c>
      <c r="H74" s="604">
        <v>0</v>
      </c>
      <c r="I74" s="604">
        <v>0</v>
      </c>
      <c r="J74" s="605">
        <f t="shared" si="47"/>
        <v>0</v>
      </c>
      <c r="K74" s="616">
        <v>0</v>
      </c>
      <c r="L74" s="604">
        <v>0</v>
      </c>
      <c r="M74" s="604">
        <v>0</v>
      </c>
      <c r="N74" s="605">
        <f t="shared" si="48"/>
        <v>0</v>
      </c>
      <c r="O74" s="616">
        <v>0</v>
      </c>
      <c r="P74" s="604">
        <v>0</v>
      </c>
      <c r="Q74" s="604">
        <v>0</v>
      </c>
      <c r="R74" s="605">
        <f t="shared" si="49"/>
        <v>0</v>
      </c>
      <c r="S74" s="1421">
        <f t="shared" si="50"/>
        <v>0</v>
      </c>
      <c r="T74" s="1416">
        <f t="shared" si="51"/>
        <v>0</v>
      </c>
      <c r="U74" s="1416">
        <f t="shared" si="52"/>
        <v>0</v>
      </c>
      <c r="V74" s="605">
        <f t="shared" si="53"/>
        <v>0</v>
      </c>
    </row>
    <row r="75" spans="1:22" x14ac:dyDescent="0.35">
      <c r="A75" s="411" t="s">
        <v>325</v>
      </c>
      <c r="B75" s="450" t="s">
        <v>326</v>
      </c>
      <c r="C75" s="616">
        <v>0</v>
      </c>
      <c r="D75" s="604">
        <v>0</v>
      </c>
      <c r="E75" s="604">
        <v>0</v>
      </c>
      <c r="F75" s="605">
        <f t="shared" si="46"/>
        <v>0</v>
      </c>
      <c r="G75" s="616">
        <v>0</v>
      </c>
      <c r="H75" s="604">
        <v>0</v>
      </c>
      <c r="I75" s="604">
        <v>0</v>
      </c>
      <c r="J75" s="605">
        <f t="shared" si="47"/>
        <v>0</v>
      </c>
      <c r="K75" s="616">
        <v>0</v>
      </c>
      <c r="L75" s="604">
        <v>0</v>
      </c>
      <c r="M75" s="604">
        <v>0</v>
      </c>
      <c r="N75" s="605">
        <f t="shared" si="48"/>
        <v>0</v>
      </c>
      <c r="O75" s="616">
        <v>0</v>
      </c>
      <c r="P75" s="604">
        <v>0</v>
      </c>
      <c r="Q75" s="604">
        <v>0</v>
      </c>
      <c r="R75" s="605">
        <f t="shared" si="49"/>
        <v>0</v>
      </c>
      <c r="S75" s="1421">
        <f t="shared" si="50"/>
        <v>0</v>
      </c>
      <c r="T75" s="1416">
        <f t="shared" si="51"/>
        <v>0</v>
      </c>
      <c r="U75" s="1416">
        <f t="shared" si="52"/>
        <v>0</v>
      </c>
      <c r="V75" s="605">
        <f t="shared" si="53"/>
        <v>0</v>
      </c>
    </row>
    <row r="76" spans="1:22" x14ac:dyDescent="0.35">
      <c r="A76" s="411" t="s">
        <v>327</v>
      </c>
      <c r="B76" s="450" t="s">
        <v>328</v>
      </c>
      <c r="C76" s="616">
        <v>0</v>
      </c>
      <c r="D76" s="604">
        <v>0</v>
      </c>
      <c r="E76" s="604">
        <v>0</v>
      </c>
      <c r="F76" s="605">
        <f t="shared" si="46"/>
        <v>0</v>
      </c>
      <c r="G76" s="616">
        <v>0</v>
      </c>
      <c r="H76" s="604">
        <v>0</v>
      </c>
      <c r="I76" s="604">
        <v>0</v>
      </c>
      <c r="J76" s="605">
        <f t="shared" si="47"/>
        <v>0</v>
      </c>
      <c r="K76" s="616">
        <v>0</v>
      </c>
      <c r="L76" s="604">
        <v>0</v>
      </c>
      <c r="M76" s="604">
        <v>0</v>
      </c>
      <c r="N76" s="605">
        <f t="shared" si="48"/>
        <v>0</v>
      </c>
      <c r="O76" s="616">
        <v>0</v>
      </c>
      <c r="P76" s="604">
        <v>0</v>
      </c>
      <c r="Q76" s="604">
        <v>0</v>
      </c>
      <c r="R76" s="605">
        <f t="shared" si="49"/>
        <v>0</v>
      </c>
      <c r="S76" s="1421">
        <f t="shared" si="50"/>
        <v>0</v>
      </c>
      <c r="T76" s="1416">
        <f t="shared" si="51"/>
        <v>0</v>
      </c>
      <c r="U76" s="1416">
        <f t="shared" si="52"/>
        <v>0</v>
      </c>
      <c r="V76" s="605">
        <f t="shared" si="53"/>
        <v>0</v>
      </c>
    </row>
    <row r="77" spans="1:22" x14ac:dyDescent="0.35">
      <c r="A77" s="411" t="s">
        <v>329</v>
      </c>
      <c r="B77" s="450" t="s">
        <v>330</v>
      </c>
      <c r="C77" s="616">
        <v>0</v>
      </c>
      <c r="D77" s="604">
        <v>0</v>
      </c>
      <c r="E77" s="604">
        <v>0</v>
      </c>
      <c r="F77" s="605">
        <f t="shared" si="46"/>
        <v>0</v>
      </c>
      <c r="G77" s="616">
        <v>0</v>
      </c>
      <c r="H77" s="604">
        <v>0</v>
      </c>
      <c r="I77" s="604">
        <v>0</v>
      </c>
      <c r="J77" s="605">
        <f t="shared" si="47"/>
        <v>0</v>
      </c>
      <c r="K77" s="616">
        <v>0</v>
      </c>
      <c r="L77" s="604">
        <v>0</v>
      </c>
      <c r="M77" s="604">
        <v>0</v>
      </c>
      <c r="N77" s="605">
        <f t="shared" si="48"/>
        <v>0</v>
      </c>
      <c r="O77" s="616">
        <v>0</v>
      </c>
      <c r="P77" s="604">
        <v>0</v>
      </c>
      <c r="Q77" s="604">
        <v>0</v>
      </c>
      <c r="R77" s="605">
        <f t="shared" si="49"/>
        <v>0</v>
      </c>
      <c r="S77" s="1421">
        <f t="shared" si="50"/>
        <v>0</v>
      </c>
      <c r="T77" s="1416">
        <f t="shared" si="51"/>
        <v>0</v>
      </c>
      <c r="U77" s="1416">
        <f t="shared" si="52"/>
        <v>0</v>
      </c>
      <c r="V77" s="605">
        <f t="shared" si="53"/>
        <v>0</v>
      </c>
    </row>
    <row r="78" spans="1:22" x14ac:dyDescent="0.35">
      <c r="A78" s="411" t="s">
        <v>331</v>
      </c>
      <c r="B78" s="450" t="s">
        <v>332</v>
      </c>
      <c r="C78" s="616">
        <v>0</v>
      </c>
      <c r="D78" s="604">
        <v>0</v>
      </c>
      <c r="E78" s="604">
        <v>0</v>
      </c>
      <c r="F78" s="605">
        <f t="shared" si="46"/>
        <v>0</v>
      </c>
      <c r="G78" s="616">
        <v>0</v>
      </c>
      <c r="H78" s="604">
        <v>0</v>
      </c>
      <c r="I78" s="604">
        <v>0</v>
      </c>
      <c r="J78" s="605">
        <f t="shared" si="47"/>
        <v>0</v>
      </c>
      <c r="K78" s="616">
        <v>0</v>
      </c>
      <c r="L78" s="604">
        <v>0</v>
      </c>
      <c r="M78" s="604">
        <v>0</v>
      </c>
      <c r="N78" s="605">
        <f t="shared" si="48"/>
        <v>0</v>
      </c>
      <c r="O78" s="616">
        <v>0</v>
      </c>
      <c r="P78" s="604">
        <v>0</v>
      </c>
      <c r="Q78" s="604">
        <v>0</v>
      </c>
      <c r="R78" s="605">
        <f t="shared" si="49"/>
        <v>0</v>
      </c>
      <c r="S78" s="1421">
        <f t="shared" si="50"/>
        <v>0</v>
      </c>
      <c r="T78" s="1416">
        <f t="shared" si="51"/>
        <v>0</v>
      </c>
      <c r="U78" s="1416">
        <f t="shared" si="52"/>
        <v>0</v>
      </c>
      <c r="V78" s="605">
        <f t="shared" si="53"/>
        <v>0</v>
      </c>
    </row>
    <row r="79" spans="1:22" x14ac:dyDescent="0.35">
      <c r="A79" s="411" t="s">
        <v>333</v>
      </c>
      <c r="B79" s="450" t="s">
        <v>334</v>
      </c>
      <c r="C79" s="616">
        <v>0</v>
      </c>
      <c r="D79" s="604">
        <v>0</v>
      </c>
      <c r="E79" s="604">
        <v>0</v>
      </c>
      <c r="F79" s="605">
        <f>SUM(C79:E79)</f>
        <v>0</v>
      </c>
      <c r="G79" s="616">
        <v>0</v>
      </c>
      <c r="H79" s="604">
        <v>0</v>
      </c>
      <c r="I79" s="604">
        <v>0</v>
      </c>
      <c r="J79" s="605">
        <f>SUM(G79:I79)</f>
        <v>0</v>
      </c>
      <c r="K79" s="616">
        <v>0</v>
      </c>
      <c r="L79" s="604">
        <v>0</v>
      </c>
      <c r="M79" s="604">
        <v>0</v>
      </c>
      <c r="N79" s="605">
        <f>SUM(K79:M79)</f>
        <v>0</v>
      </c>
      <c r="O79" s="616">
        <v>0</v>
      </c>
      <c r="P79" s="604">
        <v>0</v>
      </c>
      <c r="Q79" s="604">
        <v>0</v>
      </c>
      <c r="R79" s="605">
        <f>SUM(O79:Q79)</f>
        <v>0</v>
      </c>
      <c r="S79" s="1421">
        <f t="shared" si="50"/>
        <v>0</v>
      </c>
      <c r="T79" s="1416">
        <f t="shared" si="51"/>
        <v>0</v>
      </c>
      <c r="U79" s="1416">
        <f t="shared" si="52"/>
        <v>0</v>
      </c>
      <c r="V79" s="605">
        <f>SUM(S79:U79)</f>
        <v>0</v>
      </c>
    </row>
    <row r="80" spans="1:22" x14ac:dyDescent="0.35">
      <c r="A80" s="411" t="s">
        <v>335</v>
      </c>
      <c r="B80" s="450" t="s">
        <v>336</v>
      </c>
      <c r="C80" s="616">
        <v>0</v>
      </c>
      <c r="D80" s="604">
        <v>0</v>
      </c>
      <c r="E80" s="604">
        <v>0</v>
      </c>
      <c r="F80" s="605">
        <f>SUM(C80:E80)</f>
        <v>0</v>
      </c>
      <c r="G80" s="616">
        <v>0</v>
      </c>
      <c r="H80" s="604">
        <v>0</v>
      </c>
      <c r="I80" s="604">
        <v>0</v>
      </c>
      <c r="J80" s="605">
        <f>SUM(G80:I80)</f>
        <v>0</v>
      </c>
      <c r="K80" s="616">
        <v>0</v>
      </c>
      <c r="L80" s="604">
        <v>0</v>
      </c>
      <c r="M80" s="604">
        <v>0</v>
      </c>
      <c r="N80" s="605">
        <f>SUM(K80:M80)</f>
        <v>0</v>
      </c>
      <c r="O80" s="616">
        <v>0</v>
      </c>
      <c r="P80" s="604">
        <v>0</v>
      </c>
      <c r="Q80" s="604">
        <v>0</v>
      </c>
      <c r="R80" s="605">
        <f>SUM(O80:Q80)</f>
        <v>0</v>
      </c>
      <c r="S80" s="1421">
        <f t="shared" si="50"/>
        <v>0</v>
      </c>
      <c r="T80" s="1416">
        <f t="shared" si="51"/>
        <v>0</v>
      </c>
      <c r="U80" s="1416">
        <f t="shared" si="52"/>
        <v>0</v>
      </c>
      <c r="V80" s="605">
        <f>SUM(S80:U80)</f>
        <v>0</v>
      </c>
    </row>
    <row r="81" spans="1:22" x14ac:dyDescent="0.35">
      <c r="A81" s="411" t="s">
        <v>337</v>
      </c>
      <c r="B81" s="450" t="s">
        <v>338</v>
      </c>
      <c r="C81" s="616">
        <v>0</v>
      </c>
      <c r="D81" s="604">
        <v>0</v>
      </c>
      <c r="E81" s="604">
        <v>0</v>
      </c>
      <c r="F81" s="605">
        <f>SUM(C81:E81)</f>
        <v>0</v>
      </c>
      <c r="G81" s="616">
        <v>0</v>
      </c>
      <c r="H81" s="604">
        <v>0</v>
      </c>
      <c r="I81" s="604">
        <v>0</v>
      </c>
      <c r="J81" s="605">
        <f>SUM(G81:I81)</f>
        <v>0</v>
      </c>
      <c r="K81" s="616">
        <v>0</v>
      </c>
      <c r="L81" s="604">
        <v>0</v>
      </c>
      <c r="M81" s="604">
        <v>0</v>
      </c>
      <c r="N81" s="605">
        <f>SUM(K81:M81)</f>
        <v>0</v>
      </c>
      <c r="O81" s="616">
        <v>0</v>
      </c>
      <c r="P81" s="604">
        <v>0</v>
      </c>
      <c r="Q81" s="604">
        <v>0</v>
      </c>
      <c r="R81" s="605">
        <f>SUM(O81:Q81)</f>
        <v>0</v>
      </c>
      <c r="S81" s="1421">
        <f t="shared" si="50"/>
        <v>0</v>
      </c>
      <c r="T81" s="1416">
        <f t="shared" si="51"/>
        <v>0</v>
      </c>
      <c r="U81" s="1416">
        <f t="shared" si="52"/>
        <v>0</v>
      </c>
      <c r="V81" s="605">
        <f>SUM(S81:U81)</f>
        <v>0</v>
      </c>
    </row>
    <row r="82" spans="1:22" x14ac:dyDescent="0.35">
      <c r="A82" s="451" t="s">
        <v>339</v>
      </c>
      <c r="B82" s="452" t="s">
        <v>340</v>
      </c>
      <c r="C82" s="623">
        <f>SUM(C79:C81)</f>
        <v>0</v>
      </c>
      <c r="D82" s="623">
        <f>SUM(D79:D81)</f>
        <v>0</v>
      </c>
      <c r="E82" s="623">
        <f>SUM(E79:E81)</f>
        <v>0</v>
      </c>
      <c r="F82" s="624">
        <f>SUM(C82:E82)</f>
        <v>0</v>
      </c>
      <c r="G82" s="623">
        <f>SUM(G79:G81)</f>
        <v>0</v>
      </c>
      <c r="H82" s="623">
        <f>SUM(H79:H81)</f>
        <v>0</v>
      </c>
      <c r="I82" s="623">
        <f>SUM(I79:I81)</f>
        <v>0</v>
      </c>
      <c r="J82" s="624">
        <f>SUM(G82:I82)</f>
        <v>0</v>
      </c>
      <c r="K82" s="623">
        <f>SUM(K79:K81)</f>
        <v>0</v>
      </c>
      <c r="L82" s="623">
        <f>SUM(L79:L81)</f>
        <v>0</v>
      </c>
      <c r="M82" s="623">
        <f>SUM(M79:M81)</f>
        <v>0</v>
      </c>
      <c r="N82" s="624">
        <f>SUM(K82:M82)</f>
        <v>0</v>
      </c>
      <c r="O82" s="623">
        <f>SUM(O79:O81)</f>
        <v>0</v>
      </c>
      <c r="P82" s="623">
        <f>SUM(P79:P81)</f>
        <v>0</v>
      </c>
      <c r="Q82" s="623">
        <f>SUM(Q79:Q81)</f>
        <v>0</v>
      </c>
      <c r="R82" s="624">
        <f>SUM(O82:Q82)</f>
        <v>0</v>
      </c>
      <c r="S82" s="1423">
        <f>SUM(S79:S81)</f>
        <v>0</v>
      </c>
      <c r="T82" s="1423">
        <f>SUM(T79:T81)</f>
        <v>0</v>
      </c>
      <c r="U82" s="1423">
        <f>SUM(U79:U81)</f>
        <v>0</v>
      </c>
      <c r="V82" s="624">
        <f>SUM(S82:U82)</f>
        <v>0</v>
      </c>
    </row>
    <row r="83" spans="1:22" ht="15" thickBot="1" x14ac:dyDescent="0.4">
      <c r="A83" s="411" t="s">
        <v>341</v>
      </c>
      <c r="B83" s="450" t="s">
        <v>342</v>
      </c>
      <c r="C83" s="616">
        <v>0</v>
      </c>
      <c r="D83" s="604">
        <v>0</v>
      </c>
      <c r="E83" s="604">
        <v>0</v>
      </c>
      <c r="F83" s="605">
        <f t="shared" si="46"/>
        <v>0</v>
      </c>
      <c r="G83" s="616">
        <v>0</v>
      </c>
      <c r="H83" s="604">
        <v>0</v>
      </c>
      <c r="I83" s="604">
        <v>0</v>
      </c>
      <c r="J83" s="605">
        <f t="shared" ref="J83" si="54">SUM(G83:I83)</f>
        <v>0</v>
      </c>
      <c r="K83" s="616">
        <v>0</v>
      </c>
      <c r="L83" s="604">
        <v>0</v>
      </c>
      <c r="M83" s="604">
        <v>0</v>
      </c>
      <c r="N83" s="605">
        <f t="shared" ref="N83" si="55">SUM(K83:M83)</f>
        <v>0</v>
      </c>
      <c r="O83" s="616">
        <v>0</v>
      </c>
      <c r="P83" s="604">
        <v>0</v>
      </c>
      <c r="Q83" s="604">
        <v>0</v>
      </c>
      <c r="R83" s="605">
        <f t="shared" ref="R83" si="56">SUM(O83:Q83)</f>
        <v>0</v>
      </c>
      <c r="S83" s="1421">
        <f>C83+G83+K83+O83</f>
        <v>0</v>
      </c>
      <c r="T83" s="1416">
        <f>D83+H83+L83+P83</f>
        <v>0</v>
      </c>
      <c r="U83" s="1416">
        <f t="shared" ref="U83" si="57">E83+I83+M83+Q83</f>
        <v>0</v>
      </c>
      <c r="V83" s="605">
        <f t="shared" ref="V83" si="58">SUM(S83:U83)</f>
        <v>0</v>
      </c>
    </row>
    <row r="84" spans="1:22" ht="15" thickBot="1" x14ac:dyDescent="0.4">
      <c r="A84" s="421">
        <v>50399</v>
      </c>
      <c r="B84" s="610" t="s">
        <v>343</v>
      </c>
      <c r="C84" s="611">
        <f t="shared" ref="C84:V84" si="59">SUM(C64:C78)+C82+C83</f>
        <v>0</v>
      </c>
      <c r="D84" s="625">
        <f t="shared" si="59"/>
        <v>0</v>
      </c>
      <c r="E84" s="625">
        <f t="shared" si="59"/>
        <v>0</v>
      </c>
      <c r="F84" s="626">
        <f t="shared" si="59"/>
        <v>0</v>
      </c>
      <c r="G84" s="611">
        <f t="shared" si="59"/>
        <v>0</v>
      </c>
      <c r="H84" s="625">
        <f t="shared" si="59"/>
        <v>0</v>
      </c>
      <c r="I84" s="625">
        <f t="shared" si="59"/>
        <v>0</v>
      </c>
      <c r="J84" s="626">
        <f t="shared" si="59"/>
        <v>0</v>
      </c>
      <c r="K84" s="611">
        <f t="shared" si="59"/>
        <v>0</v>
      </c>
      <c r="L84" s="625">
        <f t="shared" si="59"/>
        <v>0</v>
      </c>
      <c r="M84" s="625">
        <f t="shared" si="59"/>
        <v>0</v>
      </c>
      <c r="N84" s="626">
        <f t="shared" si="59"/>
        <v>0</v>
      </c>
      <c r="O84" s="611">
        <f t="shared" si="59"/>
        <v>0</v>
      </c>
      <c r="P84" s="625">
        <f t="shared" si="59"/>
        <v>0</v>
      </c>
      <c r="Q84" s="625">
        <f t="shared" si="59"/>
        <v>0</v>
      </c>
      <c r="R84" s="626">
        <f t="shared" si="59"/>
        <v>0</v>
      </c>
      <c r="S84" s="611">
        <f t="shared" si="59"/>
        <v>0</v>
      </c>
      <c r="T84" s="625">
        <f t="shared" si="59"/>
        <v>0</v>
      </c>
      <c r="U84" s="625">
        <f t="shared" si="59"/>
        <v>0</v>
      </c>
      <c r="V84" s="626">
        <f t="shared" si="59"/>
        <v>0</v>
      </c>
    </row>
    <row r="85" spans="1:22" ht="15" thickBot="1" x14ac:dyDescent="0.4">
      <c r="A85" s="411" t="s">
        <v>344</v>
      </c>
      <c r="B85" s="450" t="s">
        <v>345</v>
      </c>
      <c r="C85" s="627">
        <v>0</v>
      </c>
      <c r="D85" s="628">
        <v>0</v>
      </c>
      <c r="E85" s="629">
        <v>0</v>
      </c>
      <c r="F85" s="605">
        <f>SUM(C85:E85)</f>
        <v>0</v>
      </c>
      <c r="G85" s="627">
        <v>0</v>
      </c>
      <c r="H85" s="628">
        <v>0</v>
      </c>
      <c r="I85" s="629">
        <v>0</v>
      </c>
      <c r="J85" s="605">
        <f>SUM(G85:I85)</f>
        <v>0</v>
      </c>
      <c r="K85" s="627">
        <v>0</v>
      </c>
      <c r="L85" s="628">
        <v>0</v>
      </c>
      <c r="M85" s="629">
        <v>0</v>
      </c>
      <c r="N85" s="605">
        <f>SUM(K85:M85)</f>
        <v>0</v>
      </c>
      <c r="O85" s="627">
        <v>0</v>
      </c>
      <c r="P85" s="628">
        <v>0</v>
      </c>
      <c r="Q85" s="629">
        <v>0</v>
      </c>
      <c r="R85" s="605">
        <f>SUM(O85:Q85)</f>
        <v>0</v>
      </c>
      <c r="S85" s="1424">
        <f>C85+G85+K85+O85</f>
        <v>0</v>
      </c>
      <c r="T85" s="1425">
        <f>D85+H85+L85+P85</f>
        <v>0</v>
      </c>
      <c r="U85" s="1426">
        <f t="shared" ref="U85" si="60">E85+I85+M85+Q85</f>
        <v>0</v>
      </c>
      <c r="V85" s="605">
        <f>SUM(S85:U85)</f>
        <v>0</v>
      </c>
    </row>
    <row r="86" spans="1:22" ht="15" thickBot="1" x14ac:dyDescent="0.4">
      <c r="A86" s="421">
        <v>59999</v>
      </c>
      <c r="B86" s="610" t="s">
        <v>346</v>
      </c>
      <c r="C86" s="611">
        <f t="shared" ref="C86:V86" si="61">C28+C45+C62+C84+C85</f>
        <v>0</v>
      </c>
      <c r="D86" s="612">
        <f t="shared" si="61"/>
        <v>0</v>
      </c>
      <c r="E86" s="612">
        <f t="shared" si="61"/>
        <v>0</v>
      </c>
      <c r="F86" s="612">
        <f t="shared" si="61"/>
        <v>0</v>
      </c>
      <c r="G86" s="611">
        <f t="shared" si="61"/>
        <v>0</v>
      </c>
      <c r="H86" s="612">
        <f t="shared" si="61"/>
        <v>0</v>
      </c>
      <c r="I86" s="612">
        <f t="shared" si="61"/>
        <v>0</v>
      </c>
      <c r="J86" s="612">
        <f t="shared" si="61"/>
        <v>0</v>
      </c>
      <c r="K86" s="611">
        <f t="shared" si="61"/>
        <v>0</v>
      </c>
      <c r="L86" s="612">
        <f t="shared" si="61"/>
        <v>0</v>
      </c>
      <c r="M86" s="612">
        <f t="shared" si="61"/>
        <v>0</v>
      </c>
      <c r="N86" s="612">
        <f t="shared" si="61"/>
        <v>0</v>
      </c>
      <c r="O86" s="611">
        <f t="shared" si="61"/>
        <v>0</v>
      </c>
      <c r="P86" s="612">
        <f t="shared" si="61"/>
        <v>0</v>
      </c>
      <c r="Q86" s="612">
        <f t="shared" si="61"/>
        <v>0</v>
      </c>
      <c r="R86" s="612">
        <f t="shared" si="61"/>
        <v>0</v>
      </c>
      <c r="S86" s="611">
        <f t="shared" si="61"/>
        <v>0</v>
      </c>
      <c r="T86" s="612">
        <f t="shared" si="61"/>
        <v>0</v>
      </c>
      <c r="U86" s="612">
        <f t="shared" si="61"/>
        <v>0</v>
      </c>
      <c r="V86" s="612">
        <f t="shared" si="61"/>
        <v>0</v>
      </c>
    </row>
    <row r="87" spans="1:22" x14ac:dyDescent="0.35">
      <c r="A87" s="457" t="s">
        <v>347</v>
      </c>
      <c r="B87" s="538"/>
      <c r="C87" s="630"/>
      <c r="D87" s="618"/>
      <c r="E87" s="618"/>
      <c r="F87" s="620"/>
      <c r="G87" s="630"/>
      <c r="H87" s="618"/>
      <c r="I87" s="618"/>
      <c r="J87" s="620"/>
      <c r="K87" s="630"/>
      <c r="L87" s="618"/>
      <c r="M87" s="618"/>
      <c r="N87" s="620"/>
      <c r="O87" s="630"/>
      <c r="P87" s="618"/>
      <c r="Q87" s="618"/>
      <c r="R87" s="620"/>
      <c r="S87" s="1421"/>
      <c r="T87" s="1416"/>
      <c r="U87" s="1416"/>
      <c r="V87" s="620"/>
    </row>
    <row r="88" spans="1:22" x14ac:dyDescent="0.35">
      <c r="A88" s="411" t="s">
        <v>348</v>
      </c>
      <c r="B88" s="450" t="s">
        <v>349</v>
      </c>
      <c r="C88" s="616">
        <v>0</v>
      </c>
      <c r="D88" s="604">
        <v>0</v>
      </c>
      <c r="E88" s="604">
        <v>0</v>
      </c>
      <c r="F88" s="605">
        <f t="shared" ref="F88:F92" si="62">SUM(C88:E88)</f>
        <v>0</v>
      </c>
      <c r="G88" s="616">
        <v>0</v>
      </c>
      <c r="H88" s="604">
        <v>0</v>
      </c>
      <c r="I88" s="604">
        <v>0</v>
      </c>
      <c r="J88" s="605">
        <f t="shared" ref="J88:J92" si="63">SUM(G88:I88)</f>
        <v>0</v>
      </c>
      <c r="K88" s="616">
        <v>0</v>
      </c>
      <c r="L88" s="604">
        <v>0</v>
      </c>
      <c r="M88" s="604">
        <v>0</v>
      </c>
      <c r="N88" s="605">
        <f t="shared" ref="N88:N92" si="64">SUM(K88:M88)</f>
        <v>0</v>
      </c>
      <c r="O88" s="616">
        <v>0</v>
      </c>
      <c r="P88" s="604">
        <v>0</v>
      </c>
      <c r="Q88" s="604">
        <v>0</v>
      </c>
      <c r="R88" s="605">
        <f t="shared" ref="R88:R92" si="65">SUM(O88:Q88)</f>
        <v>0</v>
      </c>
      <c r="S88" s="1421">
        <f t="shared" ref="S88:S92" si="66">C88+G88+K88+O88</f>
        <v>0</v>
      </c>
      <c r="T88" s="1416">
        <f t="shared" ref="T88:T92" si="67">D88+H88+L88+P88</f>
        <v>0</v>
      </c>
      <c r="U88" s="1416">
        <f t="shared" ref="U88:U92" si="68">E88+I88+M88+Q88</f>
        <v>0</v>
      </c>
      <c r="V88" s="605">
        <f t="shared" ref="V88:V92" si="69">SUM(S88:U88)</f>
        <v>0</v>
      </c>
    </row>
    <row r="89" spans="1:22" x14ac:dyDescent="0.35">
      <c r="A89" s="411" t="s">
        <v>350</v>
      </c>
      <c r="B89" s="450" t="s">
        <v>351</v>
      </c>
      <c r="C89" s="616">
        <v>0</v>
      </c>
      <c r="D89" s="604">
        <v>0</v>
      </c>
      <c r="E89" s="604">
        <v>0</v>
      </c>
      <c r="F89" s="605">
        <f t="shared" si="62"/>
        <v>0</v>
      </c>
      <c r="G89" s="616">
        <v>0</v>
      </c>
      <c r="H89" s="604">
        <v>0</v>
      </c>
      <c r="I89" s="604">
        <v>0</v>
      </c>
      <c r="J89" s="605">
        <f t="shared" si="63"/>
        <v>0</v>
      </c>
      <c r="K89" s="616">
        <v>0</v>
      </c>
      <c r="L89" s="604">
        <v>0</v>
      </c>
      <c r="M89" s="604">
        <v>0</v>
      </c>
      <c r="N89" s="605">
        <f t="shared" si="64"/>
        <v>0</v>
      </c>
      <c r="O89" s="616">
        <v>0</v>
      </c>
      <c r="P89" s="604">
        <v>0</v>
      </c>
      <c r="Q89" s="604">
        <v>0</v>
      </c>
      <c r="R89" s="605">
        <f t="shared" si="65"/>
        <v>0</v>
      </c>
      <c r="S89" s="1421">
        <f t="shared" si="66"/>
        <v>0</v>
      </c>
      <c r="T89" s="1416">
        <f t="shared" si="67"/>
        <v>0</v>
      </c>
      <c r="U89" s="1416">
        <f t="shared" si="68"/>
        <v>0</v>
      </c>
      <c r="V89" s="605">
        <f t="shared" si="69"/>
        <v>0</v>
      </c>
    </row>
    <row r="90" spans="1:22" x14ac:dyDescent="0.35">
      <c r="A90" s="411" t="s">
        <v>352</v>
      </c>
      <c r="B90" s="450" t="s">
        <v>353</v>
      </c>
      <c r="C90" s="616">
        <v>0</v>
      </c>
      <c r="D90" s="604">
        <v>0</v>
      </c>
      <c r="E90" s="604">
        <v>0</v>
      </c>
      <c r="F90" s="605">
        <f t="shared" si="62"/>
        <v>0</v>
      </c>
      <c r="G90" s="616">
        <v>0</v>
      </c>
      <c r="H90" s="604">
        <v>0</v>
      </c>
      <c r="I90" s="604">
        <v>0</v>
      </c>
      <c r="J90" s="605">
        <f t="shared" si="63"/>
        <v>0</v>
      </c>
      <c r="K90" s="616">
        <v>0</v>
      </c>
      <c r="L90" s="604">
        <v>0</v>
      </c>
      <c r="M90" s="604">
        <v>0</v>
      </c>
      <c r="N90" s="605">
        <f t="shared" si="64"/>
        <v>0</v>
      </c>
      <c r="O90" s="616">
        <v>0</v>
      </c>
      <c r="P90" s="604">
        <v>0</v>
      </c>
      <c r="Q90" s="604">
        <v>0</v>
      </c>
      <c r="R90" s="605">
        <f t="shared" si="65"/>
        <v>0</v>
      </c>
      <c r="S90" s="1421">
        <f t="shared" si="66"/>
        <v>0</v>
      </c>
      <c r="T90" s="1416">
        <f t="shared" si="67"/>
        <v>0</v>
      </c>
      <c r="U90" s="1416">
        <f t="shared" si="68"/>
        <v>0</v>
      </c>
      <c r="V90" s="605">
        <f t="shared" si="69"/>
        <v>0</v>
      </c>
    </row>
    <row r="91" spans="1:22" x14ac:dyDescent="0.35">
      <c r="A91" s="411" t="s">
        <v>354</v>
      </c>
      <c r="B91" s="450" t="s">
        <v>355</v>
      </c>
      <c r="C91" s="616">
        <v>0</v>
      </c>
      <c r="D91" s="604">
        <v>0</v>
      </c>
      <c r="E91" s="604">
        <v>0</v>
      </c>
      <c r="F91" s="605">
        <f t="shared" si="62"/>
        <v>0</v>
      </c>
      <c r="G91" s="616">
        <v>0</v>
      </c>
      <c r="H91" s="604">
        <v>0</v>
      </c>
      <c r="I91" s="604">
        <v>0</v>
      </c>
      <c r="J91" s="605">
        <f t="shared" si="63"/>
        <v>0</v>
      </c>
      <c r="K91" s="616">
        <v>0</v>
      </c>
      <c r="L91" s="604">
        <v>0</v>
      </c>
      <c r="M91" s="604">
        <v>0</v>
      </c>
      <c r="N91" s="605">
        <f t="shared" si="64"/>
        <v>0</v>
      </c>
      <c r="O91" s="616">
        <v>0</v>
      </c>
      <c r="P91" s="604">
        <v>0</v>
      </c>
      <c r="Q91" s="604">
        <v>0</v>
      </c>
      <c r="R91" s="605">
        <f t="shared" si="65"/>
        <v>0</v>
      </c>
      <c r="S91" s="1421">
        <f t="shared" si="66"/>
        <v>0</v>
      </c>
      <c r="T91" s="1416">
        <f t="shared" si="67"/>
        <v>0</v>
      </c>
      <c r="U91" s="1416">
        <f t="shared" si="68"/>
        <v>0</v>
      </c>
      <c r="V91" s="605">
        <f t="shared" si="69"/>
        <v>0</v>
      </c>
    </row>
    <row r="92" spans="1:22" ht="15" thickBot="1" x14ac:dyDescent="0.4">
      <c r="A92" s="411" t="s">
        <v>356</v>
      </c>
      <c r="B92" s="450" t="s">
        <v>357</v>
      </c>
      <c r="C92" s="621">
        <v>0</v>
      </c>
      <c r="D92" s="604">
        <v>0</v>
      </c>
      <c r="E92" s="609">
        <v>0</v>
      </c>
      <c r="F92" s="605">
        <f t="shared" si="62"/>
        <v>0</v>
      </c>
      <c r="G92" s="621">
        <v>0</v>
      </c>
      <c r="H92" s="604">
        <v>0</v>
      </c>
      <c r="I92" s="609">
        <v>0</v>
      </c>
      <c r="J92" s="605">
        <f t="shared" si="63"/>
        <v>0</v>
      </c>
      <c r="K92" s="621">
        <v>0</v>
      </c>
      <c r="L92" s="604">
        <v>0</v>
      </c>
      <c r="M92" s="609">
        <v>0</v>
      </c>
      <c r="N92" s="605">
        <f t="shared" si="64"/>
        <v>0</v>
      </c>
      <c r="O92" s="621">
        <v>0</v>
      </c>
      <c r="P92" s="604">
        <v>0</v>
      </c>
      <c r="Q92" s="609">
        <v>0</v>
      </c>
      <c r="R92" s="605">
        <f t="shared" si="65"/>
        <v>0</v>
      </c>
      <c r="S92" s="1422">
        <f t="shared" si="66"/>
        <v>0</v>
      </c>
      <c r="T92" s="1416">
        <f t="shared" si="67"/>
        <v>0</v>
      </c>
      <c r="U92" s="1418">
        <f t="shared" si="68"/>
        <v>0</v>
      </c>
      <c r="V92" s="605">
        <f t="shared" si="69"/>
        <v>0</v>
      </c>
    </row>
    <row r="93" spans="1:22" ht="15" thickBot="1" x14ac:dyDescent="0.4">
      <c r="A93" s="421">
        <v>85999</v>
      </c>
      <c r="B93" s="610" t="s">
        <v>358</v>
      </c>
      <c r="C93" s="611">
        <f t="shared" ref="C93:V93" si="70">C86+SUM(C88:C92)</f>
        <v>0</v>
      </c>
      <c r="D93" s="612">
        <f t="shared" si="70"/>
        <v>0</v>
      </c>
      <c r="E93" s="612">
        <f t="shared" si="70"/>
        <v>0</v>
      </c>
      <c r="F93" s="612">
        <f t="shared" si="70"/>
        <v>0</v>
      </c>
      <c r="G93" s="611">
        <f t="shared" si="70"/>
        <v>0</v>
      </c>
      <c r="H93" s="612">
        <f t="shared" si="70"/>
        <v>0</v>
      </c>
      <c r="I93" s="612">
        <f t="shared" si="70"/>
        <v>0</v>
      </c>
      <c r="J93" s="612">
        <f t="shared" si="70"/>
        <v>0</v>
      </c>
      <c r="K93" s="611">
        <f t="shared" si="70"/>
        <v>0</v>
      </c>
      <c r="L93" s="612">
        <f t="shared" si="70"/>
        <v>0</v>
      </c>
      <c r="M93" s="612">
        <f t="shared" si="70"/>
        <v>0</v>
      </c>
      <c r="N93" s="612">
        <f t="shared" si="70"/>
        <v>0</v>
      </c>
      <c r="O93" s="611">
        <f t="shared" si="70"/>
        <v>0</v>
      </c>
      <c r="P93" s="612">
        <f t="shared" si="70"/>
        <v>0</v>
      </c>
      <c r="Q93" s="612">
        <f t="shared" si="70"/>
        <v>0</v>
      </c>
      <c r="R93" s="612">
        <f t="shared" si="70"/>
        <v>0</v>
      </c>
      <c r="S93" s="611">
        <f t="shared" si="70"/>
        <v>0</v>
      </c>
      <c r="T93" s="612">
        <f t="shared" si="70"/>
        <v>0</v>
      </c>
      <c r="U93" s="612">
        <f t="shared" si="70"/>
        <v>0</v>
      </c>
      <c r="V93" s="612">
        <f t="shared" si="70"/>
        <v>0</v>
      </c>
    </row>
    <row r="94" spans="1:22" x14ac:dyDescent="0.35">
      <c r="A94" s="399" t="s">
        <v>359</v>
      </c>
      <c r="B94" s="538"/>
      <c r="C94" s="617"/>
      <c r="D94" s="618"/>
      <c r="E94" s="619"/>
      <c r="F94" s="620"/>
      <c r="G94" s="617"/>
      <c r="H94" s="618"/>
      <c r="I94" s="619"/>
      <c r="J94" s="620"/>
      <c r="K94" s="617"/>
      <c r="L94" s="618"/>
      <c r="M94" s="619"/>
      <c r="N94" s="620"/>
      <c r="O94" s="617"/>
      <c r="P94" s="618"/>
      <c r="Q94" s="619"/>
      <c r="R94" s="620"/>
      <c r="S94" s="1419"/>
      <c r="T94" s="1416"/>
      <c r="U94" s="1420"/>
      <c r="V94" s="620"/>
    </row>
    <row r="95" spans="1:22" x14ac:dyDescent="0.35">
      <c r="A95" s="411" t="s">
        <v>360</v>
      </c>
      <c r="B95" s="450" t="s">
        <v>361</v>
      </c>
      <c r="C95" s="616">
        <v>0</v>
      </c>
      <c r="D95" s="604">
        <v>0</v>
      </c>
      <c r="E95" s="604">
        <v>0</v>
      </c>
      <c r="F95" s="605">
        <f t="shared" ref="F95:F114" si="71">SUM(C95:E95)</f>
        <v>0</v>
      </c>
      <c r="G95" s="616">
        <v>0</v>
      </c>
      <c r="H95" s="604">
        <v>0</v>
      </c>
      <c r="I95" s="604">
        <v>0</v>
      </c>
      <c r="J95" s="605">
        <f t="shared" ref="J95:J114" si="72">SUM(G95:I95)</f>
        <v>0</v>
      </c>
      <c r="K95" s="616">
        <v>0</v>
      </c>
      <c r="L95" s="604">
        <v>0</v>
      </c>
      <c r="M95" s="604">
        <v>0</v>
      </c>
      <c r="N95" s="605">
        <f t="shared" ref="N95:N114" si="73">SUM(K95:M95)</f>
        <v>0</v>
      </c>
      <c r="O95" s="616">
        <v>0</v>
      </c>
      <c r="P95" s="604">
        <v>0</v>
      </c>
      <c r="Q95" s="604">
        <v>0</v>
      </c>
      <c r="R95" s="605">
        <f t="shared" ref="R95:R114" si="74">SUM(O95:Q95)</f>
        <v>0</v>
      </c>
      <c r="S95" s="1421">
        <f t="shared" ref="S95:S114" si="75">C95+G95+K95+O95</f>
        <v>0</v>
      </c>
      <c r="T95" s="1416">
        <f t="shared" ref="T95:T114" si="76">D95+H95+L95+P95</f>
        <v>0</v>
      </c>
      <c r="U95" s="1416">
        <f t="shared" ref="U95:U114" si="77">E95+I95+M95+Q95</f>
        <v>0</v>
      </c>
      <c r="V95" s="605">
        <f t="shared" ref="V95:V114" si="78">SUM(S95:U95)</f>
        <v>0</v>
      </c>
    </row>
    <row r="96" spans="1:22" x14ac:dyDescent="0.35">
      <c r="A96" s="411" t="s">
        <v>362</v>
      </c>
      <c r="B96" s="450" t="s">
        <v>363</v>
      </c>
      <c r="C96" s="616">
        <v>0</v>
      </c>
      <c r="D96" s="604">
        <v>0</v>
      </c>
      <c r="E96" s="604">
        <v>0</v>
      </c>
      <c r="F96" s="605">
        <f t="shared" si="71"/>
        <v>0</v>
      </c>
      <c r="G96" s="616">
        <v>0</v>
      </c>
      <c r="H96" s="604">
        <v>0</v>
      </c>
      <c r="I96" s="604">
        <v>0</v>
      </c>
      <c r="J96" s="605">
        <f t="shared" si="72"/>
        <v>0</v>
      </c>
      <c r="K96" s="616">
        <v>0</v>
      </c>
      <c r="L96" s="604">
        <v>0</v>
      </c>
      <c r="M96" s="604">
        <v>0</v>
      </c>
      <c r="N96" s="605">
        <f t="shared" si="73"/>
        <v>0</v>
      </c>
      <c r="O96" s="616">
        <v>0</v>
      </c>
      <c r="P96" s="604">
        <v>0</v>
      </c>
      <c r="Q96" s="604">
        <v>0</v>
      </c>
      <c r="R96" s="605">
        <f t="shared" si="74"/>
        <v>0</v>
      </c>
      <c r="S96" s="1421">
        <f t="shared" si="75"/>
        <v>0</v>
      </c>
      <c r="T96" s="1416">
        <f t="shared" si="76"/>
        <v>0</v>
      </c>
      <c r="U96" s="1416">
        <f t="shared" si="77"/>
        <v>0</v>
      </c>
      <c r="V96" s="605">
        <f t="shared" si="78"/>
        <v>0</v>
      </c>
    </row>
    <row r="97" spans="1:22" x14ac:dyDescent="0.35">
      <c r="A97" s="411" t="s">
        <v>364</v>
      </c>
      <c r="B97" s="450" t="s">
        <v>365</v>
      </c>
      <c r="C97" s="616">
        <v>0</v>
      </c>
      <c r="D97" s="604">
        <v>0</v>
      </c>
      <c r="E97" s="604">
        <v>0</v>
      </c>
      <c r="F97" s="605">
        <f t="shared" si="71"/>
        <v>0</v>
      </c>
      <c r="G97" s="616">
        <v>0</v>
      </c>
      <c r="H97" s="604">
        <v>0</v>
      </c>
      <c r="I97" s="604">
        <v>0</v>
      </c>
      <c r="J97" s="605">
        <f t="shared" si="72"/>
        <v>0</v>
      </c>
      <c r="K97" s="616">
        <v>0</v>
      </c>
      <c r="L97" s="604">
        <v>0</v>
      </c>
      <c r="M97" s="604">
        <v>0</v>
      </c>
      <c r="N97" s="605">
        <f t="shared" si="73"/>
        <v>0</v>
      </c>
      <c r="O97" s="616">
        <v>0</v>
      </c>
      <c r="P97" s="604">
        <v>0</v>
      </c>
      <c r="Q97" s="604">
        <v>0</v>
      </c>
      <c r="R97" s="605">
        <f t="shared" si="74"/>
        <v>0</v>
      </c>
      <c r="S97" s="1421">
        <f t="shared" si="75"/>
        <v>0</v>
      </c>
      <c r="T97" s="1416">
        <f t="shared" si="76"/>
        <v>0</v>
      </c>
      <c r="U97" s="1416">
        <f t="shared" si="77"/>
        <v>0</v>
      </c>
      <c r="V97" s="605">
        <f t="shared" si="78"/>
        <v>0</v>
      </c>
    </row>
    <row r="98" spans="1:22" x14ac:dyDescent="0.35">
      <c r="A98" s="411" t="s">
        <v>366</v>
      </c>
      <c r="B98" s="450" t="s">
        <v>367</v>
      </c>
      <c r="C98" s="616">
        <v>0</v>
      </c>
      <c r="D98" s="604">
        <v>0</v>
      </c>
      <c r="E98" s="604">
        <v>0</v>
      </c>
      <c r="F98" s="605">
        <f t="shared" si="71"/>
        <v>0</v>
      </c>
      <c r="G98" s="616">
        <v>0</v>
      </c>
      <c r="H98" s="604">
        <v>0</v>
      </c>
      <c r="I98" s="604">
        <v>0</v>
      </c>
      <c r="J98" s="605">
        <f t="shared" si="72"/>
        <v>0</v>
      </c>
      <c r="K98" s="616">
        <v>0</v>
      </c>
      <c r="L98" s="604">
        <v>0</v>
      </c>
      <c r="M98" s="604">
        <v>0</v>
      </c>
      <c r="N98" s="605">
        <f t="shared" si="73"/>
        <v>0</v>
      </c>
      <c r="O98" s="616">
        <v>0</v>
      </c>
      <c r="P98" s="604">
        <v>0</v>
      </c>
      <c r="Q98" s="604">
        <v>0</v>
      </c>
      <c r="R98" s="605">
        <f t="shared" si="74"/>
        <v>0</v>
      </c>
      <c r="S98" s="1421">
        <f t="shared" si="75"/>
        <v>0</v>
      </c>
      <c r="T98" s="1416">
        <f t="shared" si="76"/>
        <v>0</v>
      </c>
      <c r="U98" s="1416">
        <f t="shared" si="77"/>
        <v>0</v>
      </c>
      <c r="V98" s="605">
        <f t="shared" si="78"/>
        <v>0</v>
      </c>
    </row>
    <row r="99" spans="1:22" x14ac:dyDescent="0.35">
      <c r="A99" s="411" t="s">
        <v>368</v>
      </c>
      <c r="B99" s="450" t="s">
        <v>369</v>
      </c>
      <c r="C99" s="616">
        <v>0</v>
      </c>
      <c r="D99" s="604">
        <v>0</v>
      </c>
      <c r="E99" s="604">
        <v>0</v>
      </c>
      <c r="F99" s="605">
        <f t="shared" si="71"/>
        <v>0</v>
      </c>
      <c r="G99" s="616">
        <v>0</v>
      </c>
      <c r="H99" s="604">
        <v>0</v>
      </c>
      <c r="I99" s="604">
        <v>0</v>
      </c>
      <c r="J99" s="605">
        <f t="shared" si="72"/>
        <v>0</v>
      </c>
      <c r="K99" s="616">
        <v>0</v>
      </c>
      <c r="L99" s="604">
        <v>0</v>
      </c>
      <c r="M99" s="604">
        <v>0</v>
      </c>
      <c r="N99" s="605">
        <f t="shared" si="73"/>
        <v>0</v>
      </c>
      <c r="O99" s="616">
        <v>0</v>
      </c>
      <c r="P99" s="604">
        <v>0</v>
      </c>
      <c r="Q99" s="604">
        <v>0</v>
      </c>
      <c r="R99" s="605">
        <f t="shared" si="74"/>
        <v>0</v>
      </c>
      <c r="S99" s="1421">
        <f t="shared" si="75"/>
        <v>0</v>
      </c>
      <c r="T99" s="1416">
        <f t="shared" si="76"/>
        <v>0</v>
      </c>
      <c r="U99" s="1416">
        <f t="shared" si="77"/>
        <v>0</v>
      </c>
      <c r="V99" s="605">
        <f t="shared" si="78"/>
        <v>0</v>
      </c>
    </row>
    <row r="100" spans="1:22" x14ac:dyDescent="0.35">
      <c r="A100" s="411" t="s">
        <v>370</v>
      </c>
      <c r="B100" s="450" t="s">
        <v>371</v>
      </c>
      <c r="C100" s="616">
        <v>0</v>
      </c>
      <c r="D100" s="604">
        <v>0</v>
      </c>
      <c r="E100" s="604">
        <v>0</v>
      </c>
      <c r="F100" s="605">
        <f t="shared" si="71"/>
        <v>0</v>
      </c>
      <c r="G100" s="616">
        <v>0</v>
      </c>
      <c r="H100" s="604">
        <v>0</v>
      </c>
      <c r="I100" s="604">
        <v>0</v>
      </c>
      <c r="J100" s="605">
        <f t="shared" si="72"/>
        <v>0</v>
      </c>
      <c r="K100" s="616">
        <v>0</v>
      </c>
      <c r="L100" s="604">
        <v>0</v>
      </c>
      <c r="M100" s="604">
        <v>0</v>
      </c>
      <c r="N100" s="605">
        <f t="shared" si="73"/>
        <v>0</v>
      </c>
      <c r="O100" s="616">
        <v>0</v>
      </c>
      <c r="P100" s="604">
        <v>0</v>
      </c>
      <c r="Q100" s="604">
        <v>0</v>
      </c>
      <c r="R100" s="605">
        <f t="shared" si="74"/>
        <v>0</v>
      </c>
      <c r="S100" s="1421">
        <f t="shared" si="75"/>
        <v>0</v>
      </c>
      <c r="T100" s="1416">
        <f t="shared" si="76"/>
        <v>0</v>
      </c>
      <c r="U100" s="1416">
        <f t="shared" si="77"/>
        <v>0</v>
      </c>
      <c r="V100" s="605">
        <f t="shared" si="78"/>
        <v>0</v>
      </c>
    </row>
    <row r="101" spans="1:22" x14ac:dyDescent="0.35">
      <c r="A101" s="411" t="s">
        <v>372</v>
      </c>
      <c r="B101" s="450" t="s">
        <v>373</v>
      </c>
      <c r="C101" s="616">
        <v>0</v>
      </c>
      <c r="D101" s="604">
        <v>0</v>
      </c>
      <c r="E101" s="604">
        <v>0</v>
      </c>
      <c r="F101" s="605">
        <f t="shared" si="71"/>
        <v>0</v>
      </c>
      <c r="G101" s="616">
        <v>0</v>
      </c>
      <c r="H101" s="604">
        <v>0</v>
      </c>
      <c r="I101" s="604">
        <v>0</v>
      </c>
      <c r="J101" s="605">
        <f t="shared" si="72"/>
        <v>0</v>
      </c>
      <c r="K101" s="616">
        <v>0</v>
      </c>
      <c r="L101" s="604">
        <v>0</v>
      </c>
      <c r="M101" s="604">
        <v>0</v>
      </c>
      <c r="N101" s="605">
        <f t="shared" si="73"/>
        <v>0</v>
      </c>
      <c r="O101" s="616">
        <v>0</v>
      </c>
      <c r="P101" s="604">
        <v>0</v>
      </c>
      <c r="Q101" s="604">
        <v>0</v>
      </c>
      <c r="R101" s="605">
        <f t="shared" si="74"/>
        <v>0</v>
      </c>
      <c r="S101" s="1421">
        <f t="shared" si="75"/>
        <v>0</v>
      </c>
      <c r="T101" s="1416">
        <f t="shared" si="76"/>
        <v>0</v>
      </c>
      <c r="U101" s="1416">
        <f t="shared" si="77"/>
        <v>0</v>
      </c>
      <c r="V101" s="605">
        <f t="shared" si="78"/>
        <v>0</v>
      </c>
    </row>
    <row r="102" spans="1:22" x14ac:dyDescent="0.35">
      <c r="A102" s="411" t="s">
        <v>374</v>
      </c>
      <c r="B102" s="450" t="s">
        <v>375</v>
      </c>
      <c r="C102" s="616">
        <v>0</v>
      </c>
      <c r="D102" s="604">
        <v>0</v>
      </c>
      <c r="E102" s="604">
        <v>0</v>
      </c>
      <c r="F102" s="605">
        <f t="shared" si="71"/>
        <v>0</v>
      </c>
      <c r="G102" s="616">
        <v>0</v>
      </c>
      <c r="H102" s="604">
        <v>0</v>
      </c>
      <c r="I102" s="604">
        <v>0</v>
      </c>
      <c r="J102" s="605">
        <f t="shared" si="72"/>
        <v>0</v>
      </c>
      <c r="K102" s="616">
        <v>0</v>
      </c>
      <c r="L102" s="604">
        <v>0</v>
      </c>
      <c r="M102" s="604">
        <v>0</v>
      </c>
      <c r="N102" s="605">
        <f t="shared" si="73"/>
        <v>0</v>
      </c>
      <c r="O102" s="616">
        <v>0</v>
      </c>
      <c r="P102" s="604">
        <v>0</v>
      </c>
      <c r="Q102" s="604">
        <v>0</v>
      </c>
      <c r="R102" s="605">
        <f t="shared" si="74"/>
        <v>0</v>
      </c>
      <c r="S102" s="1421">
        <f t="shared" si="75"/>
        <v>0</v>
      </c>
      <c r="T102" s="1416">
        <f t="shared" si="76"/>
        <v>0</v>
      </c>
      <c r="U102" s="1416">
        <f t="shared" si="77"/>
        <v>0</v>
      </c>
      <c r="V102" s="605">
        <f t="shared" si="78"/>
        <v>0</v>
      </c>
    </row>
    <row r="103" spans="1:22" x14ac:dyDescent="0.35">
      <c r="A103" s="411" t="s">
        <v>376</v>
      </c>
      <c r="B103" s="450" t="s">
        <v>377</v>
      </c>
      <c r="C103" s="616">
        <v>0</v>
      </c>
      <c r="D103" s="604">
        <v>0</v>
      </c>
      <c r="E103" s="604">
        <v>0</v>
      </c>
      <c r="F103" s="605">
        <f t="shared" si="71"/>
        <v>0</v>
      </c>
      <c r="G103" s="616">
        <v>0</v>
      </c>
      <c r="H103" s="604">
        <v>0</v>
      </c>
      <c r="I103" s="604">
        <v>0</v>
      </c>
      <c r="J103" s="605">
        <f t="shared" si="72"/>
        <v>0</v>
      </c>
      <c r="K103" s="616">
        <v>0</v>
      </c>
      <c r="L103" s="604">
        <v>0</v>
      </c>
      <c r="M103" s="604">
        <v>0</v>
      </c>
      <c r="N103" s="605">
        <f t="shared" si="73"/>
        <v>0</v>
      </c>
      <c r="O103" s="616">
        <v>0</v>
      </c>
      <c r="P103" s="604">
        <v>0</v>
      </c>
      <c r="Q103" s="604">
        <v>0</v>
      </c>
      <c r="R103" s="605">
        <f t="shared" si="74"/>
        <v>0</v>
      </c>
      <c r="S103" s="1421">
        <f t="shared" si="75"/>
        <v>0</v>
      </c>
      <c r="T103" s="1416">
        <f t="shared" si="76"/>
        <v>0</v>
      </c>
      <c r="U103" s="1416">
        <f t="shared" si="77"/>
        <v>0</v>
      </c>
      <c r="V103" s="605">
        <f t="shared" si="78"/>
        <v>0</v>
      </c>
    </row>
    <row r="104" spans="1:22" x14ac:dyDescent="0.35">
      <c r="A104" s="411" t="s">
        <v>378</v>
      </c>
      <c r="B104" s="450" t="s">
        <v>379</v>
      </c>
      <c r="C104" s="616">
        <v>0</v>
      </c>
      <c r="D104" s="604">
        <v>0</v>
      </c>
      <c r="E104" s="604">
        <v>0</v>
      </c>
      <c r="F104" s="605">
        <f t="shared" si="71"/>
        <v>0</v>
      </c>
      <c r="G104" s="616">
        <v>0</v>
      </c>
      <c r="H104" s="604">
        <v>0</v>
      </c>
      <c r="I104" s="604">
        <v>0</v>
      </c>
      <c r="J104" s="605">
        <f t="shared" si="72"/>
        <v>0</v>
      </c>
      <c r="K104" s="616">
        <v>0</v>
      </c>
      <c r="L104" s="604">
        <v>0</v>
      </c>
      <c r="M104" s="604">
        <v>0</v>
      </c>
      <c r="N104" s="605">
        <f t="shared" si="73"/>
        <v>0</v>
      </c>
      <c r="O104" s="616">
        <v>0</v>
      </c>
      <c r="P104" s="604">
        <v>0</v>
      </c>
      <c r="Q104" s="604">
        <v>0</v>
      </c>
      <c r="R104" s="605">
        <f t="shared" si="74"/>
        <v>0</v>
      </c>
      <c r="S104" s="1421">
        <f t="shared" si="75"/>
        <v>0</v>
      </c>
      <c r="T104" s="1416">
        <f t="shared" si="76"/>
        <v>0</v>
      </c>
      <c r="U104" s="1416">
        <f t="shared" si="77"/>
        <v>0</v>
      </c>
      <c r="V104" s="605">
        <f t="shared" si="78"/>
        <v>0</v>
      </c>
    </row>
    <row r="105" spans="1:22" x14ac:dyDescent="0.35">
      <c r="A105" s="411" t="s">
        <v>380</v>
      </c>
      <c r="B105" s="450" t="s">
        <v>381</v>
      </c>
      <c r="C105" s="616">
        <v>0</v>
      </c>
      <c r="D105" s="604">
        <v>0</v>
      </c>
      <c r="E105" s="604">
        <v>0</v>
      </c>
      <c r="F105" s="605">
        <f t="shared" si="71"/>
        <v>0</v>
      </c>
      <c r="G105" s="616">
        <v>0</v>
      </c>
      <c r="H105" s="604">
        <v>0</v>
      </c>
      <c r="I105" s="604">
        <v>0</v>
      </c>
      <c r="J105" s="605">
        <f t="shared" si="72"/>
        <v>0</v>
      </c>
      <c r="K105" s="616">
        <v>0</v>
      </c>
      <c r="L105" s="604">
        <v>0</v>
      </c>
      <c r="M105" s="604">
        <v>0</v>
      </c>
      <c r="N105" s="605">
        <f t="shared" si="73"/>
        <v>0</v>
      </c>
      <c r="O105" s="616">
        <v>0</v>
      </c>
      <c r="P105" s="604">
        <v>0</v>
      </c>
      <c r="Q105" s="604">
        <v>0</v>
      </c>
      <c r="R105" s="605">
        <f t="shared" si="74"/>
        <v>0</v>
      </c>
      <c r="S105" s="1421">
        <f t="shared" si="75"/>
        <v>0</v>
      </c>
      <c r="T105" s="1416">
        <f t="shared" si="76"/>
        <v>0</v>
      </c>
      <c r="U105" s="1416">
        <f t="shared" si="77"/>
        <v>0</v>
      </c>
      <c r="V105" s="605">
        <f t="shared" si="78"/>
        <v>0</v>
      </c>
    </row>
    <row r="106" spans="1:22" x14ac:dyDescent="0.35">
      <c r="A106" s="411" t="s">
        <v>382</v>
      </c>
      <c r="B106" s="450" t="s">
        <v>383</v>
      </c>
      <c r="C106" s="616">
        <v>0</v>
      </c>
      <c r="D106" s="604">
        <v>0</v>
      </c>
      <c r="E106" s="604">
        <v>0</v>
      </c>
      <c r="F106" s="605">
        <f t="shared" si="71"/>
        <v>0</v>
      </c>
      <c r="G106" s="616">
        <v>0</v>
      </c>
      <c r="H106" s="604">
        <v>0</v>
      </c>
      <c r="I106" s="604">
        <v>0</v>
      </c>
      <c r="J106" s="605">
        <f t="shared" si="72"/>
        <v>0</v>
      </c>
      <c r="K106" s="616">
        <v>0</v>
      </c>
      <c r="L106" s="604">
        <v>0</v>
      </c>
      <c r="M106" s="604">
        <v>0</v>
      </c>
      <c r="N106" s="605">
        <f t="shared" si="73"/>
        <v>0</v>
      </c>
      <c r="O106" s="616">
        <v>0</v>
      </c>
      <c r="P106" s="604">
        <v>0</v>
      </c>
      <c r="Q106" s="604">
        <v>0</v>
      </c>
      <c r="R106" s="605">
        <f t="shared" si="74"/>
        <v>0</v>
      </c>
      <c r="S106" s="1421">
        <f t="shared" si="75"/>
        <v>0</v>
      </c>
      <c r="T106" s="1416">
        <f t="shared" si="76"/>
        <v>0</v>
      </c>
      <c r="U106" s="1416">
        <f t="shared" si="77"/>
        <v>0</v>
      </c>
      <c r="V106" s="605">
        <f t="shared" si="78"/>
        <v>0</v>
      </c>
    </row>
    <row r="107" spans="1:22" x14ac:dyDescent="0.35">
      <c r="A107" s="411" t="s">
        <v>384</v>
      </c>
      <c r="B107" s="450" t="s">
        <v>385</v>
      </c>
      <c r="C107" s="616">
        <v>0</v>
      </c>
      <c r="D107" s="604">
        <v>0</v>
      </c>
      <c r="E107" s="604">
        <v>0</v>
      </c>
      <c r="F107" s="605">
        <f t="shared" si="71"/>
        <v>0</v>
      </c>
      <c r="G107" s="616">
        <v>0</v>
      </c>
      <c r="H107" s="604">
        <v>0</v>
      </c>
      <c r="I107" s="604">
        <v>0</v>
      </c>
      <c r="J107" s="605">
        <f t="shared" si="72"/>
        <v>0</v>
      </c>
      <c r="K107" s="616">
        <v>0</v>
      </c>
      <c r="L107" s="604">
        <v>0</v>
      </c>
      <c r="M107" s="604">
        <v>0</v>
      </c>
      <c r="N107" s="605">
        <f t="shared" si="73"/>
        <v>0</v>
      </c>
      <c r="O107" s="616">
        <v>0</v>
      </c>
      <c r="P107" s="604">
        <v>0</v>
      </c>
      <c r="Q107" s="604">
        <v>0</v>
      </c>
      <c r="R107" s="605">
        <f t="shared" si="74"/>
        <v>0</v>
      </c>
      <c r="S107" s="1421">
        <f t="shared" si="75"/>
        <v>0</v>
      </c>
      <c r="T107" s="1416">
        <f t="shared" si="76"/>
        <v>0</v>
      </c>
      <c r="U107" s="1416">
        <f t="shared" si="77"/>
        <v>0</v>
      </c>
      <c r="V107" s="605">
        <f t="shared" si="78"/>
        <v>0</v>
      </c>
    </row>
    <row r="108" spans="1:22" x14ac:dyDescent="0.35">
      <c r="A108" s="411" t="s">
        <v>386</v>
      </c>
      <c r="B108" s="450" t="s">
        <v>387</v>
      </c>
      <c r="C108" s="616">
        <v>0</v>
      </c>
      <c r="D108" s="604">
        <v>0</v>
      </c>
      <c r="E108" s="604">
        <v>0</v>
      </c>
      <c r="F108" s="605">
        <f t="shared" si="71"/>
        <v>0</v>
      </c>
      <c r="G108" s="616">
        <v>0</v>
      </c>
      <c r="H108" s="604">
        <v>0</v>
      </c>
      <c r="I108" s="604">
        <v>0</v>
      </c>
      <c r="J108" s="605">
        <f t="shared" si="72"/>
        <v>0</v>
      </c>
      <c r="K108" s="616">
        <v>0</v>
      </c>
      <c r="L108" s="604">
        <v>0</v>
      </c>
      <c r="M108" s="604">
        <v>0</v>
      </c>
      <c r="N108" s="605">
        <f t="shared" si="73"/>
        <v>0</v>
      </c>
      <c r="O108" s="616">
        <v>0</v>
      </c>
      <c r="P108" s="604">
        <v>0</v>
      </c>
      <c r="Q108" s="604">
        <v>0</v>
      </c>
      <c r="R108" s="605">
        <f t="shared" si="74"/>
        <v>0</v>
      </c>
      <c r="S108" s="1421">
        <f t="shared" si="75"/>
        <v>0</v>
      </c>
      <c r="T108" s="1416">
        <f t="shared" si="76"/>
        <v>0</v>
      </c>
      <c r="U108" s="1416">
        <f t="shared" si="77"/>
        <v>0</v>
      </c>
      <c r="V108" s="605">
        <f t="shared" si="78"/>
        <v>0</v>
      </c>
    </row>
    <row r="109" spans="1:22" x14ac:dyDescent="0.35">
      <c r="A109" s="411" t="s">
        <v>388</v>
      </c>
      <c r="B109" s="450" t="s">
        <v>389</v>
      </c>
      <c r="C109" s="616">
        <v>0</v>
      </c>
      <c r="D109" s="604">
        <v>0</v>
      </c>
      <c r="E109" s="604">
        <v>0</v>
      </c>
      <c r="F109" s="605">
        <f t="shared" si="71"/>
        <v>0</v>
      </c>
      <c r="G109" s="616">
        <v>0</v>
      </c>
      <c r="H109" s="604">
        <v>0</v>
      </c>
      <c r="I109" s="604">
        <v>0</v>
      </c>
      <c r="J109" s="605">
        <f t="shared" si="72"/>
        <v>0</v>
      </c>
      <c r="K109" s="616">
        <v>0</v>
      </c>
      <c r="L109" s="604">
        <v>0</v>
      </c>
      <c r="M109" s="604">
        <v>0</v>
      </c>
      <c r="N109" s="605">
        <f t="shared" si="73"/>
        <v>0</v>
      </c>
      <c r="O109" s="616">
        <v>0</v>
      </c>
      <c r="P109" s="604">
        <v>0</v>
      </c>
      <c r="Q109" s="604">
        <v>0</v>
      </c>
      <c r="R109" s="605">
        <f t="shared" si="74"/>
        <v>0</v>
      </c>
      <c r="S109" s="1421">
        <f t="shared" si="75"/>
        <v>0</v>
      </c>
      <c r="T109" s="1416">
        <f t="shared" si="76"/>
        <v>0</v>
      </c>
      <c r="U109" s="1416">
        <f t="shared" si="77"/>
        <v>0</v>
      </c>
      <c r="V109" s="605">
        <f t="shared" si="78"/>
        <v>0</v>
      </c>
    </row>
    <row r="110" spans="1:22" x14ac:dyDescent="0.35">
      <c r="A110" s="411" t="s">
        <v>390</v>
      </c>
      <c r="B110" s="450" t="s">
        <v>391</v>
      </c>
      <c r="C110" s="616">
        <v>0</v>
      </c>
      <c r="D110" s="604">
        <v>0</v>
      </c>
      <c r="E110" s="604">
        <v>0</v>
      </c>
      <c r="F110" s="605">
        <f t="shared" si="71"/>
        <v>0</v>
      </c>
      <c r="G110" s="616">
        <v>0</v>
      </c>
      <c r="H110" s="604">
        <v>0</v>
      </c>
      <c r="I110" s="604">
        <v>0</v>
      </c>
      <c r="J110" s="605">
        <f t="shared" si="72"/>
        <v>0</v>
      </c>
      <c r="K110" s="616">
        <v>0</v>
      </c>
      <c r="L110" s="604">
        <v>0</v>
      </c>
      <c r="M110" s="604">
        <v>0</v>
      </c>
      <c r="N110" s="605">
        <f t="shared" si="73"/>
        <v>0</v>
      </c>
      <c r="O110" s="616">
        <v>0</v>
      </c>
      <c r="P110" s="604">
        <v>0</v>
      </c>
      <c r="Q110" s="604">
        <v>0</v>
      </c>
      <c r="R110" s="605">
        <f t="shared" si="74"/>
        <v>0</v>
      </c>
      <c r="S110" s="1421">
        <f t="shared" si="75"/>
        <v>0</v>
      </c>
      <c r="T110" s="1416">
        <f t="shared" si="76"/>
        <v>0</v>
      </c>
      <c r="U110" s="1416">
        <f t="shared" si="77"/>
        <v>0</v>
      </c>
      <c r="V110" s="605">
        <f t="shared" si="78"/>
        <v>0</v>
      </c>
    </row>
    <row r="111" spans="1:22" x14ac:dyDescent="0.35">
      <c r="A111" s="411" t="s">
        <v>392</v>
      </c>
      <c r="B111" s="631" t="s">
        <v>393</v>
      </c>
      <c r="C111" s="616">
        <v>0</v>
      </c>
      <c r="D111" s="604">
        <v>0</v>
      </c>
      <c r="E111" s="604">
        <v>0</v>
      </c>
      <c r="F111" s="605">
        <f t="shared" si="71"/>
        <v>0</v>
      </c>
      <c r="G111" s="616">
        <v>0</v>
      </c>
      <c r="H111" s="604">
        <v>0</v>
      </c>
      <c r="I111" s="604">
        <v>0</v>
      </c>
      <c r="J111" s="605">
        <f t="shared" si="72"/>
        <v>0</v>
      </c>
      <c r="K111" s="616">
        <v>0</v>
      </c>
      <c r="L111" s="604">
        <v>0</v>
      </c>
      <c r="M111" s="604">
        <v>0</v>
      </c>
      <c r="N111" s="605">
        <f t="shared" si="73"/>
        <v>0</v>
      </c>
      <c r="O111" s="616">
        <v>0</v>
      </c>
      <c r="P111" s="604">
        <v>0</v>
      </c>
      <c r="Q111" s="604">
        <v>0</v>
      </c>
      <c r="R111" s="605">
        <f t="shared" si="74"/>
        <v>0</v>
      </c>
      <c r="S111" s="1421">
        <f t="shared" si="75"/>
        <v>0</v>
      </c>
      <c r="T111" s="1416">
        <f t="shared" si="76"/>
        <v>0</v>
      </c>
      <c r="U111" s="1416">
        <f t="shared" si="77"/>
        <v>0</v>
      </c>
      <c r="V111" s="605">
        <f t="shared" si="78"/>
        <v>0</v>
      </c>
    </row>
    <row r="112" spans="1:22" x14ac:dyDescent="0.35">
      <c r="A112" s="411" t="s">
        <v>394</v>
      </c>
      <c r="B112" s="631" t="s">
        <v>395</v>
      </c>
      <c r="C112" s="616">
        <v>0</v>
      </c>
      <c r="D112" s="604">
        <v>0</v>
      </c>
      <c r="E112" s="604">
        <v>0</v>
      </c>
      <c r="F112" s="605">
        <f t="shared" si="71"/>
        <v>0</v>
      </c>
      <c r="G112" s="616">
        <v>0</v>
      </c>
      <c r="H112" s="604">
        <v>0</v>
      </c>
      <c r="I112" s="604">
        <v>0</v>
      </c>
      <c r="J112" s="605">
        <f t="shared" si="72"/>
        <v>0</v>
      </c>
      <c r="K112" s="616">
        <v>0</v>
      </c>
      <c r="L112" s="604">
        <v>0</v>
      </c>
      <c r="M112" s="604">
        <v>0</v>
      </c>
      <c r="N112" s="605">
        <f t="shared" si="73"/>
        <v>0</v>
      </c>
      <c r="O112" s="616">
        <v>0</v>
      </c>
      <c r="P112" s="604">
        <v>0</v>
      </c>
      <c r="Q112" s="604">
        <v>0</v>
      </c>
      <c r="R112" s="605">
        <f t="shared" si="74"/>
        <v>0</v>
      </c>
      <c r="S112" s="1421">
        <f t="shared" si="75"/>
        <v>0</v>
      </c>
      <c r="T112" s="1416">
        <f t="shared" si="76"/>
        <v>0</v>
      </c>
      <c r="U112" s="1416">
        <f t="shared" si="77"/>
        <v>0</v>
      </c>
      <c r="V112" s="605">
        <f t="shared" si="78"/>
        <v>0</v>
      </c>
    </row>
    <row r="113" spans="1:22" x14ac:dyDescent="0.35">
      <c r="A113" s="411" t="s">
        <v>396</v>
      </c>
      <c r="B113" s="450" t="s">
        <v>397</v>
      </c>
      <c r="C113" s="616">
        <v>0</v>
      </c>
      <c r="D113" s="604">
        <v>0</v>
      </c>
      <c r="E113" s="604">
        <v>0</v>
      </c>
      <c r="F113" s="605">
        <f t="shared" si="71"/>
        <v>0</v>
      </c>
      <c r="G113" s="616">
        <v>0</v>
      </c>
      <c r="H113" s="604">
        <v>0</v>
      </c>
      <c r="I113" s="604">
        <v>0</v>
      </c>
      <c r="J113" s="605">
        <f t="shared" si="72"/>
        <v>0</v>
      </c>
      <c r="K113" s="616">
        <v>0</v>
      </c>
      <c r="L113" s="604">
        <v>0</v>
      </c>
      <c r="M113" s="604">
        <v>0</v>
      </c>
      <c r="N113" s="605">
        <f t="shared" si="73"/>
        <v>0</v>
      </c>
      <c r="O113" s="616">
        <v>0</v>
      </c>
      <c r="P113" s="604">
        <v>0</v>
      </c>
      <c r="Q113" s="604">
        <v>0</v>
      </c>
      <c r="R113" s="605">
        <f t="shared" si="74"/>
        <v>0</v>
      </c>
      <c r="S113" s="1421">
        <f t="shared" si="75"/>
        <v>0</v>
      </c>
      <c r="T113" s="1416">
        <f t="shared" si="76"/>
        <v>0</v>
      </c>
      <c r="U113" s="1416">
        <f t="shared" si="77"/>
        <v>0</v>
      </c>
      <c r="V113" s="605">
        <f t="shared" si="78"/>
        <v>0</v>
      </c>
    </row>
    <row r="114" spans="1:22" ht="15" thickBot="1" x14ac:dyDescent="0.4">
      <c r="A114" s="411" t="s">
        <v>398</v>
      </c>
      <c r="B114" s="450" t="s">
        <v>399</v>
      </c>
      <c r="C114" s="621">
        <v>0</v>
      </c>
      <c r="D114" s="604">
        <v>0</v>
      </c>
      <c r="E114" s="609">
        <v>0</v>
      </c>
      <c r="F114" s="605">
        <f t="shared" si="71"/>
        <v>0</v>
      </c>
      <c r="G114" s="621">
        <v>0</v>
      </c>
      <c r="H114" s="604">
        <v>0</v>
      </c>
      <c r="I114" s="609">
        <v>0</v>
      </c>
      <c r="J114" s="605">
        <f t="shared" si="72"/>
        <v>0</v>
      </c>
      <c r="K114" s="621">
        <v>0</v>
      </c>
      <c r="L114" s="604">
        <v>0</v>
      </c>
      <c r="M114" s="609">
        <v>0</v>
      </c>
      <c r="N114" s="605">
        <f t="shared" si="73"/>
        <v>0</v>
      </c>
      <c r="O114" s="621">
        <v>0</v>
      </c>
      <c r="P114" s="604">
        <v>0</v>
      </c>
      <c r="Q114" s="609">
        <v>0</v>
      </c>
      <c r="R114" s="605">
        <f t="shared" si="74"/>
        <v>0</v>
      </c>
      <c r="S114" s="1422">
        <f t="shared" si="75"/>
        <v>0</v>
      </c>
      <c r="T114" s="1416">
        <f t="shared" si="76"/>
        <v>0</v>
      </c>
      <c r="U114" s="1418">
        <f t="shared" si="77"/>
        <v>0</v>
      </c>
      <c r="V114" s="605">
        <f t="shared" si="78"/>
        <v>0</v>
      </c>
    </row>
    <row r="115" spans="1:22" ht="15" thickBot="1" x14ac:dyDescent="0.4">
      <c r="A115" s="421">
        <v>84999</v>
      </c>
      <c r="B115" s="610" t="s">
        <v>400</v>
      </c>
      <c r="C115" s="611">
        <f t="shared" ref="C115:V115" si="79">SUM(C95:C114)</f>
        <v>0</v>
      </c>
      <c r="D115" s="612">
        <f t="shared" si="79"/>
        <v>0</v>
      </c>
      <c r="E115" s="612">
        <f t="shared" si="79"/>
        <v>0</v>
      </c>
      <c r="F115" s="612">
        <f t="shared" si="79"/>
        <v>0</v>
      </c>
      <c r="G115" s="611">
        <f t="shared" si="79"/>
        <v>0</v>
      </c>
      <c r="H115" s="612">
        <f t="shared" si="79"/>
        <v>0</v>
      </c>
      <c r="I115" s="612">
        <f t="shared" si="79"/>
        <v>0</v>
      </c>
      <c r="J115" s="612">
        <f t="shared" si="79"/>
        <v>0</v>
      </c>
      <c r="K115" s="611">
        <f t="shared" si="79"/>
        <v>0</v>
      </c>
      <c r="L115" s="612">
        <f t="shared" si="79"/>
        <v>0</v>
      </c>
      <c r="M115" s="612">
        <f t="shared" si="79"/>
        <v>0</v>
      </c>
      <c r="N115" s="612">
        <f t="shared" si="79"/>
        <v>0</v>
      </c>
      <c r="O115" s="611">
        <f t="shared" si="79"/>
        <v>0</v>
      </c>
      <c r="P115" s="612">
        <f t="shared" si="79"/>
        <v>0</v>
      </c>
      <c r="Q115" s="612">
        <f t="shared" si="79"/>
        <v>0</v>
      </c>
      <c r="R115" s="612">
        <f t="shared" si="79"/>
        <v>0</v>
      </c>
      <c r="S115" s="611">
        <f t="shared" si="79"/>
        <v>0</v>
      </c>
      <c r="T115" s="612">
        <f t="shared" si="79"/>
        <v>0</v>
      </c>
      <c r="U115" s="612">
        <f t="shared" si="79"/>
        <v>0</v>
      </c>
      <c r="V115" s="612">
        <f t="shared" si="79"/>
        <v>0</v>
      </c>
    </row>
    <row r="116" spans="1:22" x14ac:dyDescent="0.35">
      <c r="A116" s="411"/>
      <c r="B116" s="412"/>
      <c r="C116" s="614"/>
      <c r="D116" s="614"/>
      <c r="E116" s="614"/>
      <c r="F116" s="632"/>
      <c r="G116" s="614"/>
      <c r="H116" s="614"/>
      <c r="I116" s="614"/>
      <c r="J116" s="632"/>
      <c r="K116" s="614"/>
      <c r="L116" s="614"/>
      <c r="M116" s="614"/>
      <c r="N116" s="632"/>
      <c r="O116" s="614"/>
      <c r="P116" s="614"/>
      <c r="Q116" s="614"/>
      <c r="R116" s="632"/>
      <c r="S116" s="1420"/>
      <c r="T116" s="1420"/>
      <c r="U116" s="1420"/>
      <c r="V116" s="632"/>
    </row>
    <row r="117" spans="1:22" ht="15" thickBot="1" x14ac:dyDescent="0.4">
      <c r="A117" s="1351" t="s">
        <v>401</v>
      </c>
      <c r="B117" s="521" t="s">
        <v>402</v>
      </c>
      <c r="C117" s="604">
        <v>0</v>
      </c>
      <c r="D117" s="604">
        <v>0</v>
      </c>
      <c r="E117" s="604">
        <v>0</v>
      </c>
      <c r="F117" s="605">
        <f>SUM(C117:E117)</f>
        <v>0</v>
      </c>
      <c r="G117" s="604">
        <v>0</v>
      </c>
      <c r="H117" s="604">
        <v>0</v>
      </c>
      <c r="I117" s="604">
        <v>0</v>
      </c>
      <c r="J117" s="605">
        <f>SUM(G117:I117)</f>
        <v>0</v>
      </c>
      <c r="K117" s="604">
        <v>0</v>
      </c>
      <c r="L117" s="604">
        <v>0</v>
      </c>
      <c r="M117" s="604">
        <v>0</v>
      </c>
      <c r="N117" s="605">
        <f>SUM(K117:M117)</f>
        <v>0</v>
      </c>
      <c r="O117" s="604">
        <v>0</v>
      </c>
      <c r="P117" s="604">
        <v>0</v>
      </c>
      <c r="Q117" s="604">
        <v>0</v>
      </c>
      <c r="R117" s="605">
        <f>SUM(O117:Q117)</f>
        <v>0</v>
      </c>
      <c r="S117" s="1416">
        <f>C117+G117+K117+O117</f>
        <v>0</v>
      </c>
      <c r="T117" s="1416">
        <f>D117+H117+L117+P117</f>
        <v>0</v>
      </c>
      <c r="U117" s="1416">
        <f t="shared" ref="U117" si="80">E117+I117+M117+Q117</f>
        <v>0</v>
      </c>
      <c r="V117" s="605">
        <f>SUM(S117:U117)</f>
        <v>0</v>
      </c>
    </row>
    <row r="118" spans="1:22" ht="15" thickBot="1" x14ac:dyDescent="0.4">
      <c r="A118" s="421">
        <v>86999</v>
      </c>
      <c r="B118" s="633" t="s">
        <v>403</v>
      </c>
      <c r="C118" s="611">
        <f t="shared" ref="C118:V118" si="81">C93+C115+C117</f>
        <v>0</v>
      </c>
      <c r="D118" s="612">
        <f t="shared" si="81"/>
        <v>0</v>
      </c>
      <c r="E118" s="612">
        <f t="shared" si="81"/>
        <v>0</v>
      </c>
      <c r="F118" s="612">
        <f t="shared" si="81"/>
        <v>0</v>
      </c>
      <c r="G118" s="611">
        <f t="shared" si="81"/>
        <v>0</v>
      </c>
      <c r="H118" s="612">
        <f t="shared" si="81"/>
        <v>0</v>
      </c>
      <c r="I118" s="612">
        <f t="shared" si="81"/>
        <v>0</v>
      </c>
      <c r="J118" s="612">
        <f t="shared" si="81"/>
        <v>0</v>
      </c>
      <c r="K118" s="611">
        <f t="shared" si="81"/>
        <v>0</v>
      </c>
      <c r="L118" s="612">
        <f t="shared" si="81"/>
        <v>0</v>
      </c>
      <c r="M118" s="612">
        <f t="shared" si="81"/>
        <v>0</v>
      </c>
      <c r="N118" s="612">
        <f t="shared" si="81"/>
        <v>0</v>
      </c>
      <c r="O118" s="611">
        <f t="shared" si="81"/>
        <v>0</v>
      </c>
      <c r="P118" s="612">
        <f t="shared" si="81"/>
        <v>0</v>
      </c>
      <c r="Q118" s="612">
        <f t="shared" si="81"/>
        <v>0</v>
      </c>
      <c r="R118" s="612">
        <f t="shared" si="81"/>
        <v>0</v>
      </c>
      <c r="S118" s="611">
        <f t="shared" si="81"/>
        <v>0</v>
      </c>
      <c r="T118" s="612">
        <f t="shared" si="81"/>
        <v>0</v>
      </c>
      <c r="U118" s="612">
        <f t="shared" si="81"/>
        <v>0</v>
      </c>
      <c r="V118" s="612">
        <f t="shared" si="81"/>
        <v>0</v>
      </c>
    </row>
    <row r="119" spans="1:22" x14ac:dyDescent="0.35">
      <c r="A119" s="634"/>
      <c r="B119" s="631"/>
      <c r="C119" s="635"/>
      <c r="D119" s="636"/>
      <c r="E119" s="636"/>
      <c r="F119" s="637"/>
      <c r="G119" s="635"/>
      <c r="H119" s="636"/>
      <c r="I119" s="636"/>
      <c r="J119" s="637"/>
      <c r="K119" s="635"/>
      <c r="L119" s="636"/>
      <c r="M119" s="636"/>
      <c r="N119" s="637"/>
      <c r="O119" s="635"/>
      <c r="P119" s="636"/>
      <c r="Q119" s="636"/>
      <c r="R119" s="637"/>
      <c r="S119" s="1427"/>
      <c r="T119" s="1428"/>
      <c r="U119" s="1428"/>
      <c r="V119" s="637"/>
    </row>
    <row r="120" spans="1:22" x14ac:dyDescent="0.35">
      <c r="A120" s="470">
        <v>87999</v>
      </c>
      <c r="B120" s="471" t="s">
        <v>404</v>
      </c>
      <c r="C120" s="638">
        <f t="shared" ref="C120:V120" si="82">(C20-C17)-C118</f>
        <v>0</v>
      </c>
      <c r="D120" s="624">
        <f t="shared" si="82"/>
        <v>0</v>
      </c>
      <c r="E120" s="624">
        <f t="shared" si="82"/>
        <v>0</v>
      </c>
      <c r="F120" s="624">
        <f t="shared" si="82"/>
        <v>0</v>
      </c>
      <c r="G120" s="638">
        <f t="shared" si="82"/>
        <v>0</v>
      </c>
      <c r="H120" s="624">
        <f t="shared" si="82"/>
        <v>0</v>
      </c>
      <c r="I120" s="624">
        <f t="shared" si="82"/>
        <v>0</v>
      </c>
      <c r="J120" s="624">
        <f t="shared" si="82"/>
        <v>0</v>
      </c>
      <c r="K120" s="638">
        <f t="shared" si="82"/>
        <v>0</v>
      </c>
      <c r="L120" s="624">
        <f t="shared" si="82"/>
        <v>0</v>
      </c>
      <c r="M120" s="624">
        <f t="shared" si="82"/>
        <v>0</v>
      </c>
      <c r="N120" s="624">
        <f t="shared" si="82"/>
        <v>0</v>
      </c>
      <c r="O120" s="638">
        <f t="shared" si="82"/>
        <v>0</v>
      </c>
      <c r="P120" s="624">
        <f t="shared" si="82"/>
        <v>0</v>
      </c>
      <c r="Q120" s="624">
        <f t="shared" si="82"/>
        <v>0</v>
      </c>
      <c r="R120" s="624">
        <f t="shared" si="82"/>
        <v>0</v>
      </c>
      <c r="S120" s="638">
        <f t="shared" si="82"/>
        <v>0</v>
      </c>
      <c r="T120" s="624">
        <f t="shared" si="82"/>
        <v>0</v>
      </c>
      <c r="U120" s="624">
        <f t="shared" si="82"/>
        <v>0</v>
      </c>
      <c r="V120" s="624">
        <f t="shared" si="82"/>
        <v>0</v>
      </c>
    </row>
    <row r="121" spans="1:22" x14ac:dyDescent="0.35">
      <c r="A121" s="639" t="s">
        <v>405</v>
      </c>
      <c r="B121" s="481" t="s">
        <v>406</v>
      </c>
      <c r="C121" s="640">
        <f t="shared" ref="C121:V121" si="83">C17</f>
        <v>0</v>
      </c>
      <c r="D121" s="641">
        <f t="shared" si="83"/>
        <v>0</v>
      </c>
      <c r="E121" s="641">
        <f t="shared" si="83"/>
        <v>0</v>
      </c>
      <c r="F121" s="605">
        <f t="shared" si="83"/>
        <v>0</v>
      </c>
      <c r="G121" s="640">
        <f t="shared" si="83"/>
        <v>0</v>
      </c>
      <c r="H121" s="641">
        <f t="shared" si="83"/>
        <v>0</v>
      </c>
      <c r="I121" s="641">
        <f t="shared" si="83"/>
        <v>0</v>
      </c>
      <c r="J121" s="605">
        <f t="shared" si="83"/>
        <v>0</v>
      </c>
      <c r="K121" s="640">
        <f t="shared" si="83"/>
        <v>0</v>
      </c>
      <c r="L121" s="641">
        <f t="shared" si="83"/>
        <v>0</v>
      </c>
      <c r="M121" s="641">
        <f t="shared" si="83"/>
        <v>0</v>
      </c>
      <c r="N121" s="605">
        <f t="shared" si="83"/>
        <v>0</v>
      </c>
      <c r="O121" s="640">
        <f t="shared" si="83"/>
        <v>0</v>
      </c>
      <c r="P121" s="641">
        <f t="shared" si="83"/>
        <v>0</v>
      </c>
      <c r="Q121" s="641">
        <f t="shared" si="83"/>
        <v>0</v>
      </c>
      <c r="R121" s="605">
        <f t="shared" si="83"/>
        <v>0</v>
      </c>
      <c r="S121" s="1429">
        <f t="shared" si="83"/>
        <v>0</v>
      </c>
      <c r="T121" s="1425">
        <f t="shared" si="83"/>
        <v>0</v>
      </c>
      <c r="U121" s="1425">
        <f t="shared" si="83"/>
        <v>0</v>
      </c>
      <c r="V121" s="605">
        <f t="shared" si="83"/>
        <v>0</v>
      </c>
    </row>
    <row r="122" spans="1:22" x14ac:dyDescent="0.35">
      <c r="A122" s="639" t="s">
        <v>407</v>
      </c>
      <c r="B122" s="481" t="s">
        <v>408</v>
      </c>
      <c r="C122" s="616">
        <v>0</v>
      </c>
      <c r="D122" s="604">
        <v>0</v>
      </c>
      <c r="E122" s="604">
        <v>0</v>
      </c>
      <c r="F122" s="605">
        <f>SUM(C122:E122)</f>
        <v>0</v>
      </c>
      <c r="G122" s="616">
        <v>0</v>
      </c>
      <c r="H122" s="604">
        <v>0</v>
      </c>
      <c r="I122" s="604">
        <v>0</v>
      </c>
      <c r="J122" s="605">
        <f>SUM(G122:I122)</f>
        <v>0</v>
      </c>
      <c r="K122" s="616">
        <v>0</v>
      </c>
      <c r="L122" s="604">
        <v>0</v>
      </c>
      <c r="M122" s="604">
        <v>0</v>
      </c>
      <c r="N122" s="605">
        <f>SUM(K122:M122)</f>
        <v>0</v>
      </c>
      <c r="O122" s="616">
        <v>0</v>
      </c>
      <c r="P122" s="604">
        <v>0</v>
      </c>
      <c r="Q122" s="604">
        <v>0</v>
      </c>
      <c r="R122" s="605">
        <f>SUM(O122:Q122)</f>
        <v>0</v>
      </c>
      <c r="S122" s="1421">
        <f>C122+G122+K122+O122</f>
        <v>0</v>
      </c>
      <c r="T122" s="1416">
        <f>D122+H122+L122+P122</f>
        <v>0</v>
      </c>
      <c r="U122" s="1416">
        <f t="shared" ref="U122" si="84">E122+I122+M122+Q122</f>
        <v>0</v>
      </c>
      <c r="V122" s="605">
        <f>SUM(S122:U122)</f>
        <v>0</v>
      </c>
    </row>
    <row r="123" spans="1:22" x14ac:dyDescent="0.35">
      <c r="A123" s="470">
        <v>88999</v>
      </c>
      <c r="B123" s="471" t="s">
        <v>409</v>
      </c>
      <c r="C123" s="638">
        <f t="shared" ref="C123:V123" si="85">C121+C122</f>
        <v>0</v>
      </c>
      <c r="D123" s="624">
        <f t="shared" si="85"/>
        <v>0</v>
      </c>
      <c r="E123" s="624">
        <f t="shared" si="85"/>
        <v>0</v>
      </c>
      <c r="F123" s="624">
        <f t="shared" si="85"/>
        <v>0</v>
      </c>
      <c r="G123" s="638">
        <f t="shared" si="85"/>
        <v>0</v>
      </c>
      <c r="H123" s="624">
        <f t="shared" si="85"/>
        <v>0</v>
      </c>
      <c r="I123" s="624">
        <f t="shared" si="85"/>
        <v>0</v>
      </c>
      <c r="J123" s="624">
        <f t="shared" si="85"/>
        <v>0</v>
      </c>
      <c r="K123" s="638">
        <f t="shared" si="85"/>
        <v>0</v>
      </c>
      <c r="L123" s="624">
        <f t="shared" si="85"/>
        <v>0</v>
      </c>
      <c r="M123" s="624">
        <f t="shared" si="85"/>
        <v>0</v>
      </c>
      <c r="N123" s="624">
        <f t="shared" si="85"/>
        <v>0</v>
      </c>
      <c r="O123" s="638">
        <f t="shared" si="85"/>
        <v>0</v>
      </c>
      <c r="P123" s="624">
        <f t="shared" si="85"/>
        <v>0</v>
      </c>
      <c r="Q123" s="624">
        <f t="shared" si="85"/>
        <v>0</v>
      </c>
      <c r="R123" s="624">
        <f t="shared" si="85"/>
        <v>0</v>
      </c>
      <c r="S123" s="638">
        <f t="shared" si="85"/>
        <v>0</v>
      </c>
      <c r="T123" s="624">
        <f t="shared" si="85"/>
        <v>0</v>
      </c>
      <c r="U123" s="624">
        <f t="shared" si="85"/>
        <v>0</v>
      </c>
      <c r="V123" s="624">
        <f t="shared" si="85"/>
        <v>0</v>
      </c>
    </row>
    <row r="124" spans="1:22" ht="15" thickBot="1" x14ac:dyDescent="0.4">
      <c r="A124" s="493"/>
      <c r="B124" s="494"/>
      <c r="C124" s="642"/>
      <c r="D124" s="643"/>
      <c r="E124" s="643"/>
      <c r="F124" s="644"/>
      <c r="G124" s="642"/>
      <c r="H124" s="643"/>
      <c r="I124" s="643"/>
      <c r="J124" s="644"/>
      <c r="K124" s="642"/>
      <c r="L124" s="643"/>
      <c r="M124" s="643"/>
      <c r="N124" s="644"/>
      <c r="O124" s="642"/>
      <c r="P124" s="643"/>
      <c r="Q124" s="643"/>
      <c r="R124" s="644"/>
      <c r="S124" s="1422"/>
      <c r="T124" s="1418"/>
      <c r="U124" s="1418"/>
      <c r="V124" s="644"/>
    </row>
    <row r="125" spans="1:22" ht="15" thickBot="1" x14ac:dyDescent="0.4">
      <c r="A125" s="421">
        <v>89999</v>
      </c>
      <c r="B125" s="610" t="s">
        <v>410</v>
      </c>
      <c r="C125" s="645">
        <f t="shared" ref="C125:V125" si="86">C120+C123</f>
        <v>0</v>
      </c>
      <c r="D125" s="646">
        <f t="shared" si="86"/>
        <v>0</v>
      </c>
      <c r="E125" s="612">
        <f t="shared" si="86"/>
        <v>0</v>
      </c>
      <c r="F125" s="646">
        <f t="shared" si="86"/>
        <v>0</v>
      </c>
      <c r="G125" s="645">
        <f t="shared" si="86"/>
        <v>0</v>
      </c>
      <c r="H125" s="646">
        <f t="shared" si="86"/>
        <v>0</v>
      </c>
      <c r="I125" s="612">
        <f t="shared" si="86"/>
        <v>0</v>
      </c>
      <c r="J125" s="646">
        <f t="shared" si="86"/>
        <v>0</v>
      </c>
      <c r="K125" s="645">
        <f t="shared" si="86"/>
        <v>0</v>
      </c>
      <c r="L125" s="646">
        <f t="shared" si="86"/>
        <v>0</v>
      </c>
      <c r="M125" s="612">
        <f t="shared" si="86"/>
        <v>0</v>
      </c>
      <c r="N125" s="646">
        <f t="shared" si="86"/>
        <v>0</v>
      </c>
      <c r="O125" s="645">
        <f t="shared" si="86"/>
        <v>0</v>
      </c>
      <c r="P125" s="646">
        <f t="shared" si="86"/>
        <v>0</v>
      </c>
      <c r="Q125" s="612">
        <f t="shared" si="86"/>
        <v>0</v>
      </c>
      <c r="R125" s="646">
        <f t="shared" si="86"/>
        <v>0</v>
      </c>
      <c r="S125" s="645">
        <f t="shared" si="86"/>
        <v>0</v>
      </c>
      <c r="T125" s="646">
        <f t="shared" si="86"/>
        <v>0</v>
      </c>
      <c r="U125" s="612">
        <f t="shared" si="86"/>
        <v>0</v>
      </c>
      <c r="V125" s="646">
        <f t="shared" si="86"/>
        <v>0</v>
      </c>
    </row>
    <row r="126" spans="1:22" x14ac:dyDescent="0.35">
      <c r="A126" s="411"/>
      <c r="B126" s="412"/>
      <c r="C126" s="614"/>
      <c r="D126" s="614"/>
      <c r="E126" s="614"/>
      <c r="F126" s="632"/>
      <c r="G126" s="614"/>
      <c r="H126" s="614"/>
      <c r="I126" s="614"/>
      <c r="J126" s="632"/>
      <c r="K126" s="614"/>
      <c r="L126" s="614"/>
      <c r="M126" s="614"/>
      <c r="N126" s="632"/>
      <c r="O126" s="614"/>
      <c r="P126" s="614"/>
      <c r="Q126" s="614"/>
      <c r="R126" s="632"/>
      <c r="S126" s="1420"/>
      <c r="T126" s="1420"/>
      <c r="U126" s="1420"/>
      <c r="V126" s="632"/>
    </row>
    <row r="127" spans="1:22" ht="15" thickBot="1" x14ac:dyDescent="0.4">
      <c r="A127" s="411" t="s">
        <v>411</v>
      </c>
      <c r="B127" s="412" t="s">
        <v>412</v>
      </c>
      <c r="C127" s="604">
        <v>0</v>
      </c>
      <c r="D127" s="604">
        <v>0</v>
      </c>
      <c r="E127" s="604">
        <v>0</v>
      </c>
      <c r="F127" s="605">
        <f t="shared" ref="F127" si="87">SUM(C127:E127)</f>
        <v>0</v>
      </c>
      <c r="G127" s="604">
        <v>0</v>
      </c>
      <c r="H127" s="604">
        <v>0</v>
      </c>
      <c r="I127" s="604">
        <v>0</v>
      </c>
      <c r="J127" s="605">
        <f t="shared" ref="J127" si="88">SUM(G127:I127)</f>
        <v>0</v>
      </c>
      <c r="K127" s="604">
        <v>0</v>
      </c>
      <c r="L127" s="604">
        <v>0</v>
      </c>
      <c r="M127" s="604">
        <v>0</v>
      </c>
      <c r="N127" s="605">
        <f t="shared" ref="N127" si="89">SUM(K127:M127)</f>
        <v>0</v>
      </c>
      <c r="O127" s="604">
        <v>0</v>
      </c>
      <c r="P127" s="604">
        <v>0</v>
      </c>
      <c r="Q127" s="604">
        <v>0</v>
      </c>
      <c r="R127" s="605">
        <f t="shared" ref="R127" si="90">SUM(O127:Q127)</f>
        <v>0</v>
      </c>
      <c r="S127" s="1416">
        <f>C127+G127+K127+O127</f>
        <v>0</v>
      </c>
      <c r="T127" s="1416">
        <f>D127+H127+L127+P127</f>
        <v>0</v>
      </c>
      <c r="U127" s="1416">
        <f t="shared" ref="U127" si="91">E127+I127+M127+Q127</f>
        <v>0</v>
      </c>
      <c r="V127" s="605">
        <f t="shared" ref="V127" si="92">SUM(S127:U127)</f>
        <v>0</v>
      </c>
    </row>
    <row r="128" spans="1:22" ht="15" thickBot="1" x14ac:dyDescent="0.4">
      <c r="A128" s="421">
        <v>99999</v>
      </c>
      <c r="B128" s="610" t="s">
        <v>413</v>
      </c>
      <c r="C128" s="611">
        <f t="shared" ref="C128:V128" si="93">C125-C127</f>
        <v>0</v>
      </c>
      <c r="D128" s="612">
        <f t="shared" si="93"/>
        <v>0</v>
      </c>
      <c r="E128" s="612">
        <f t="shared" si="93"/>
        <v>0</v>
      </c>
      <c r="F128" s="612">
        <f t="shared" si="93"/>
        <v>0</v>
      </c>
      <c r="G128" s="611">
        <f t="shared" si="93"/>
        <v>0</v>
      </c>
      <c r="H128" s="612">
        <f t="shared" si="93"/>
        <v>0</v>
      </c>
      <c r="I128" s="612">
        <f t="shared" si="93"/>
        <v>0</v>
      </c>
      <c r="J128" s="612">
        <f t="shared" si="93"/>
        <v>0</v>
      </c>
      <c r="K128" s="611">
        <f t="shared" si="93"/>
        <v>0</v>
      </c>
      <c r="L128" s="612">
        <f t="shared" si="93"/>
        <v>0</v>
      </c>
      <c r="M128" s="612">
        <f t="shared" si="93"/>
        <v>0</v>
      </c>
      <c r="N128" s="612">
        <f t="shared" si="93"/>
        <v>0</v>
      </c>
      <c r="O128" s="611">
        <f t="shared" si="93"/>
        <v>0</v>
      </c>
      <c r="P128" s="612">
        <f t="shared" si="93"/>
        <v>0</v>
      </c>
      <c r="Q128" s="612">
        <f t="shared" si="93"/>
        <v>0</v>
      </c>
      <c r="R128" s="612">
        <f t="shared" si="93"/>
        <v>0</v>
      </c>
      <c r="S128" s="611">
        <f t="shared" si="93"/>
        <v>0</v>
      </c>
      <c r="T128" s="612">
        <f t="shared" si="93"/>
        <v>0</v>
      </c>
      <c r="U128" s="612">
        <f t="shared" si="93"/>
        <v>0</v>
      </c>
      <c r="V128" s="612">
        <f t="shared" si="93"/>
        <v>0</v>
      </c>
    </row>
    <row r="129" spans="1:22" x14ac:dyDescent="0.35">
      <c r="A129" s="458"/>
      <c r="B129" s="450"/>
      <c r="C129" s="630"/>
      <c r="D129" s="618"/>
      <c r="E129" s="618"/>
      <c r="F129" s="620"/>
      <c r="G129" s="630"/>
      <c r="H129" s="618"/>
      <c r="I129" s="618"/>
      <c r="J129" s="620"/>
      <c r="K129" s="630"/>
      <c r="L129" s="618"/>
      <c r="M129" s="618"/>
      <c r="N129" s="620"/>
      <c r="O129" s="630"/>
      <c r="P129" s="618"/>
      <c r="Q129" s="618"/>
      <c r="R129" s="620"/>
      <c r="S129" s="1421"/>
      <c r="T129" s="1416"/>
      <c r="U129" s="1416"/>
      <c r="V129" s="620"/>
    </row>
    <row r="130" spans="1:22" x14ac:dyDescent="0.35">
      <c r="A130" s="411" t="s">
        <v>414</v>
      </c>
      <c r="B130" s="450" t="s">
        <v>415</v>
      </c>
      <c r="C130" s="616">
        <v>0</v>
      </c>
      <c r="D130" s="604">
        <v>0</v>
      </c>
      <c r="E130" s="604">
        <v>0</v>
      </c>
      <c r="F130" s="605">
        <f t="shared" ref="F130:F133" si="94">SUM(C130:E130)</f>
        <v>0</v>
      </c>
      <c r="G130" s="616">
        <v>0</v>
      </c>
      <c r="H130" s="604">
        <v>0</v>
      </c>
      <c r="I130" s="604">
        <v>0</v>
      </c>
      <c r="J130" s="605">
        <f t="shared" ref="J130:J133" si="95">SUM(G130:I130)</f>
        <v>0</v>
      </c>
      <c r="K130" s="616">
        <v>0</v>
      </c>
      <c r="L130" s="604">
        <v>0</v>
      </c>
      <c r="M130" s="604">
        <v>0</v>
      </c>
      <c r="N130" s="605">
        <f t="shared" ref="N130:N133" si="96">SUM(K130:M130)</f>
        <v>0</v>
      </c>
      <c r="O130" s="616">
        <v>0</v>
      </c>
      <c r="P130" s="604">
        <v>0</v>
      </c>
      <c r="Q130" s="604">
        <v>0</v>
      </c>
      <c r="R130" s="605">
        <f t="shared" ref="R130:R133" si="97">SUM(O130:Q130)</f>
        <v>0</v>
      </c>
      <c r="S130" s="1421">
        <f t="shared" ref="S130:S133" si="98">C130+G130+K130+O130</f>
        <v>0</v>
      </c>
      <c r="T130" s="1416">
        <f t="shared" ref="T130:T133" si="99">D130+H130+L130+P130</f>
        <v>0</v>
      </c>
      <c r="U130" s="1416">
        <f t="shared" ref="U130:U133" si="100">E130+I130+M130+Q130</f>
        <v>0</v>
      </c>
      <c r="V130" s="605">
        <f t="shared" ref="V130:V133" si="101">SUM(S130:U130)</f>
        <v>0</v>
      </c>
    </row>
    <row r="131" spans="1:22" x14ac:dyDescent="0.35">
      <c r="A131" s="411" t="s">
        <v>416</v>
      </c>
      <c r="B131" s="538" t="s">
        <v>417</v>
      </c>
      <c r="C131" s="616">
        <v>0</v>
      </c>
      <c r="D131" s="604">
        <v>0</v>
      </c>
      <c r="E131" s="604">
        <v>0</v>
      </c>
      <c r="F131" s="605">
        <f t="shared" si="94"/>
        <v>0</v>
      </c>
      <c r="G131" s="616">
        <v>0</v>
      </c>
      <c r="H131" s="604">
        <v>0</v>
      </c>
      <c r="I131" s="604">
        <v>0</v>
      </c>
      <c r="J131" s="605">
        <f t="shared" si="95"/>
        <v>0</v>
      </c>
      <c r="K131" s="616">
        <v>0</v>
      </c>
      <c r="L131" s="604">
        <v>0</v>
      </c>
      <c r="M131" s="604">
        <v>0</v>
      </c>
      <c r="N131" s="605">
        <f t="shared" si="96"/>
        <v>0</v>
      </c>
      <c r="O131" s="616">
        <v>0</v>
      </c>
      <c r="P131" s="604">
        <v>0</v>
      </c>
      <c r="Q131" s="604">
        <v>0</v>
      </c>
      <c r="R131" s="605">
        <f t="shared" si="97"/>
        <v>0</v>
      </c>
      <c r="S131" s="1421">
        <f t="shared" si="98"/>
        <v>0</v>
      </c>
      <c r="T131" s="1416">
        <f t="shared" si="99"/>
        <v>0</v>
      </c>
      <c r="U131" s="1416">
        <f t="shared" si="100"/>
        <v>0</v>
      </c>
      <c r="V131" s="605">
        <f t="shared" si="101"/>
        <v>0</v>
      </c>
    </row>
    <row r="132" spans="1:22" x14ac:dyDescent="0.35">
      <c r="A132" s="411" t="s">
        <v>418</v>
      </c>
      <c r="B132" s="538" t="s">
        <v>419</v>
      </c>
      <c r="C132" s="616">
        <v>0</v>
      </c>
      <c r="D132" s="604">
        <v>0</v>
      </c>
      <c r="E132" s="604">
        <v>0</v>
      </c>
      <c r="F132" s="605">
        <f t="shared" si="94"/>
        <v>0</v>
      </c>
      <c r="G132" s="616">
        <v>0</v>
      </c>
      <c r="H132" s="604">
        <v>0</v>
      </c>
      <c r="I132" s="604">
        <v>0</v>
      </c>
      <c r="J132" s="605">
        <f t="shared" si="95"/>
        <v>0</v>
      </c>
      <c r="K132" s="616">
        <v>0</v>
      </c>
      <c r="L132" s="604">
        <v>0</v>
      </c>
      <c r="M132" s="604">
        <v>0</v>
      </c>
      <c r="N132" s="605">
        <f t="shared" si="96"/>
        <v>0</v>
      </c>
      <c r="O132" s="616">
        <v>0</v>
      </c>
      <c r="P132" s="604">
        <v>0</v>
      </c>
      <c r="Q132" s="604">
        <v>0</v>
      </c>
      <c r="R132" s="605">
        <f t="shared" si="97"/>
        <v>0</v>
      </c>
      <c r="S132" s="1421">
        <f t="shared" si="98"/>
        <v>0</v>
      </c>
      <c r="T132" s="1416">
        <f t="shared" si="99"/>
        <v>0</v>
      </c>
      <c r="U132" s="1416">
        <f t="shared" si="100"/>
        <v>0</v>
      </c>
      <c r="V132" s="605">
        <f t="shared" si="101"/>
        <v>0</v>
      </c>
    </row>
    <row r="133" spans="1:22" x14ac:dyDescent="0.35">
      <c r="A133" s="411" t="s">
        <v>420</v>
      </c>
      <c r="B133" s="538" t="s">
        <v>421</v>
      </c>
      <c r="C133" s="616">
        <v>0</v>
      </c>
      <c r="D133" s="604">
        <v>0</v>
      </c>
      <c r="E133" s="604">
        <v>0</v>
      </c>
      <c r="F133" s="605">
        <f t="shared" si="94"/>
        <v>0</v>
      </c>
      <c r="G133" s="616">
        <v>0</v>
      </c>
      <c r="H133" s="604">
        <v>0</v>
      </c>
      <c r="I133" s="604">
        <v>0</v>
      </c>
      <c r="J133" s="605">
        <f t="shared" si="95"/>
        <v>0</v>
      </c>
      <c r="K133" s="616">
        <v>0</v>
      </c>
      <c r="L133" s="604">
        <v>0</v>
      </c>
      <c r="M133" s="604">
        <v>0</v>
      </c>
      <c r="N133" s="605">
        <f t="shared" si="96"/>
        <v>0</v>
      </c>
      <c r="O133" s="616">
        <v>0</v>
      </c>
      <c r="P133" s="604">
        <v>0</v>
      </c>
      <c r="Q133" s="604">
        <v>0</v>
      </c>
      <c r="R133" s="605">
        <f t="shared" si="97"/>
        <v>0</v>
      </c>
      <c r="S133" s="1421">
        <f t="shared" si="98"/>
        <v>0</v>
      </c>
      <c r="T133" s="1416">
        <f t="shared" si="99"/>
        <v>0</v>
      </c>
      <c r="U133" s="1416">
        <f t="shared" si="100"/>
        <v>0</v>
      </c>
      <c r="V133" s="605">
        <f t="shared" si="101"/>
        <v>0</v>
      </c>
    </row>
    <row r="134" spans="1:22" ht="15" thickBot="1" x14ac:dyDescent="0.4">
      <c r="A134" s="458"/>
      <c r="B134" s="450"/>
      <c r="C134" s="630"/>
      <c r="D134" s="618"/>
      <c r="E134" s="618"/>
      <c r="F134" s="620"/>
      <c r="G134" s="630"/>
      <c r="H134" s="618"/>
      <c r="I134" s="618"/>
      <c r="J134" s="620"/>
      <c r="K134" s="630"/>
      <c r="L134" s="618"/>
      <c r="M134" s="618"/>
      <c r="N134" s="620"/>
      <c r="O134" s="630"/>
      <c r="P134" s="618"/>
      <c r="Q134" s="618"/>
      <c r="R134" s="620"/>
      <c r="S134" s="1421"/>
      <c r="T134" s="1416"/>
      <c r="U134" s="1416"/>
      <c r="V134" s="620"/>
    </row>
    <row r="135" spans="1:22" ht="15" thickBot="1" x14ac:dyDescent="0.4">
      <c r="A135" s="421">
        <v>999999</v>
      </c>
      <c r="B135" s="610" t="s">
        <v>422</v>
      </c>
      <c r="C135" s="611">
        <f t="shared" ref="C135:V135" si="102">C128-C130-C131-C132-C133</f>
        <v>0</v>
      </c>
      <c r="D135" s="612">
        <f t="shared" si="102"/>
        <v>0</v>
      </c>
      <c r="E135" s="612">
        <f t="shared" si="102"/>
        <v>0</v>
      </c>
      <c r="F135" s="612">
        <f t="shared" si="102"/>
        <v>0</v>
      </c>
      <c r="G135" s="611">
        <f t="shared" si="102"/>
        <v>0</v>
      </c>
      <c r="H135" s="612">
        <f t="shared" si="102"/>
        <v>0</v>
      </c>
      <c r="I135" s="612">
        <f t="shared" si="102"/>
        <v>0</v>
      </c>
      <c r="J135" s="612">
        <f t="shared" si="102"/>
        <v>0</v>
      </c>
      <c r="K135" s="611">
        <f t="shared" si="102"/>
        <v>0</v>
      </c>
      <c r="L135" s="612">
        <f t="shared" si="102"/>
        <v>0</v>
      </c>
      <c r="M135" s="612">
        <f t="shared" si="102"/>
        <v>0</v>
      </c>
      <c r="N135" s="612">
        <f t="shared" si="102"/>
        <v>0</v>
      </c>
      <c r="O135" s="611">
        <f t="shared" si="102"/>
        <v>0</v>
      </c>
      <c r="P135" s="612">
        <f t="shared" si="102"/>
        <v>0</v>
      </c>
      <c r="Q135" s="612">
        <f t="shared" si="102"/>
        <v>0</v>
      </c>
      <c r="R135" s="612">
        <f t="shared" si="102"/>
        <v>0</v>
      </c>
      <c r="S135" s="611">
        <f t="shared" si="102"/>
        <v>0</v>
      </c>
      <c r="T135" s="612">
        <f t="shared" si="102"/>
        <v>0</v>
      </c>
      <c r="U135" s="612">
        <f t="shared" si="102"/>
        <v>0</v>
      </c>
      <c r="V135" s="612">
        <f t="shared" si="102"/>
        <v>0</v>
      </c>
    </row>
  </sheetData>
  <mergeCells count="5">
    <mergeCell ref="F5:F7"/>
    <mergeCell ref="J5:J7"/>
    <mergeCell ref="N5:N7"/>
    <mergeCell ref="R5:R7"/>
    <mergeCell ref="V5:V7"/>
  </mergeCells>
  <pageMargins left="0.22" right="0.17" top="0.3" bottom="1" header="0.17" footer="0.5"/>
  <pageSetup scale="51" orientation="portrait" r:id="rId1"/>
  <headerFooter alignWithMargins="0">
    <oddFooter>&amp;L&amp;Z&amp;F&amp;A</oddFooter>
  </headerFooter>
  <ignoredErrors>
    <ignoredError sqref="F16"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FF77E-DE6E-41EB-B38D-38F8E524D24E}">
  <sheetPr>
    <pageSetUpPr fitToPage="1"/>
  </sheetPr>
  <dimension ref="A1:A2"/>
  <sheetViews>
    <sheetView zoomScaleNormal="100" zoomScaleSheetLayoutView="75" workbookViewId="0">
      <selection activeCell="E57" sqref="E57"/>
    </sheetView>
  </sheetViews>
  <sheetFormatPr defaultColWidth="9.1796875" defaultRowHeight="14.5" x14ac:dyDescent="0.35"/>
  <cols>
    <col min="1" max="1" width="9.1796875" style="21"/>
    <col min="2" max="2" width="15.7265625" style="21" bestFit="1" customWidth="1"/>
    <col min="3" max="5" width="9.1796875" style="21"/>
    <col min="6" max="6" width="14.7265625" style="21" customWidth="1"/>
    <col min="7" max="7" width="15.26953125" style="21" bestFit="1" customWidth="1"/>
    <col min="8" max="16384" width="9.1796875" style="21"/>
  </cols>
  <sheetData>
    <row r="1" spans="1:1" x14ac:dyDescent="0.35">
      <c r="A1" s="596" t="s">
        <v>803</v>
      </c>
    </row>
    <row r="2" spans="1:1" x14ac:dyDescent="0.35">
      <c r="A2" s="21" t="s">
        <v>804</v>
      </c>
    </row>
  </sheetData>
  <pageMargins left="0.75" right="0.75" top="1" bottom="1" header="0.5" footer="0.5"/>
  <pageSetup orientation="portrait" r:id="rId1"/>
  <headerFooter alignWithMargins="0">
    <oddFooter>&amp;L&amp;8&amp;Z&amp;F&amp;A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87BCF-DA47-4D4F-9EF7-33738EF3A087}">
  <sheetPr>
    <pageSetUpPr fitToPage="1"/>
  </sheetPr>
  <dimension ref="A1:B16"/>
  <sheetViews>
    <sheetView showGridLines="0" zoomScaleNormal="100" zoomScaleSheetLayoutView="75" workbookViewId="0">
      <selection activeCell="D28" sqref="D28"/>
    </sheetView>
  </sheetViews>
  <sheetFormatPr defaultColWidth="9.7265625" defaultRowHeight="14.5" x14ac:dyDescent="0.35"/>
  <cols>
    <col min="1" max="1" width="4.7265625" style="21" customWidth="1"/>
    <col min="2" max="2" width="89.1796875" style="595" customWidth="1"/>
    <col min="3" max="3" width="16.453125" style="21" bestFit="1" customWidth="1"/>
    <col min="4" max="16384" width="9.7265625" style="21"/>
  </cols>
  <sheetData>
    <row r="1" spans="1:2" ht="15" thickBot="1" x14ac:dyDescent="0.4">
      <c r="A1" s="1514" t="s">
        <v>805</v>
      </c>
      <c r="B1" s="1597"/>
    </row>
    <row r="2" spans="1:2" ht="29" x14ac:dyDescent="0.35">
      <c r="A2" s="1344" t="s">
        <v>806</v>
      </c>
      <c r="B2" s="1345" t="s">
        <v>807</v>
      </c>
    </row>
    <row r="3" spans="1:2" x14ac:dyDescent="0.35">
      <c r="A3" s="1346"/>
      <c r="B3" s="1347"/>
    </row>
    <row r="4" spans="1:2" ht="29" x14ac:dyDescent="0.35">
      <c r="A4" s="1346" t="s">
        <v>808</v>
      </c>
      <c r="B4" s="2099" t="s">
        <v>809</v>
      </c>
    </row>
    <row r="5" spans="1:2" x14ac:dyDescent="0.35">
      <c r="A5" s="1346"/>
      <c r="B5" s="1347"/>
    </row>
    <row r="6" spans="1:2" x14ac:dyDescent="0.35">
      <c r="A6" s="1346" t="s">
        <v>810</v>
      </c>
      <c r="B6" s="1347" t="s">
        <v>811</v>
      </c>
    </row>
    <row r="7" spans="1:2" x14ac:dyDescent="0.35">
      <c r="A7" s="1346"/>
      <c r="B7" s="1347"/>
    </row>
    <row r="8" spans="1:2" x14ac:dyDescent="0.35">
      <c r="A8" s="1346" t="s">
        <v>812</v>
      </c>
      <c r="B8" s="1347" t="s">
        <v>813</v>
      </c>
    </row>
    <row r="9" spans="1:2" x14ac:dyDescent="0.35">
      <c r="A9" s="1346"/>
      <c r="B9" s="1347"/>
    </row>
    <row r="10" spans="1:2" ht="58" x14ac:dyDescent="0.35">
      <c r="A10" s="1346" t="s">
        <v>814</v>
      </c>
      <c r="B10" s="1347" t="s">
        <v>815</v>
      </c>
    </row>
    <row r="11" spans="1:2" x14ac:dyDescent="0.35">
      <c r="A11" s="1313"/>
      <c r="B11" s="1347"/>
    </row>
    <row r="12" spans="1:2" ht="29" x14ac:dyDescent="0.35">
      <c r="A12" s="1346" t="s">
        <v>816</v>
      </c>
      <c r="B12" s="1347" t="s">
        <v>817</v>
      </c>
    </row>
    <row r="13" spans="1:2" x14ac:dyDescent="0.35">
      <c r="A13" s="1313"/>
      <c r="B13" s="1348"/>
    </row>
    <row r="14" spans="1:2" ht="58" x14ac:dyDescent="0.35">
      <c r="A14" s="1346" t="s">
        <v>818</v>
      </c>
      <c r="B14" s="1347" t="s">
        <v>819</v>
      </c>
    </row>
    <row r="15" spans="1:2" x14ac:dyDescent="0.35">
      <c r="A15" s="1313"/>
      <c r="B15" s="1347"/>
    </row>
    <row r="16" spans="1:2" ht="44" thickBot="1" x14ac:dyDescent="0.4">
      <c r="A16" s="1349" t="s">
        <v>820</v>
      </c>
      <c r="B16" s="1350" t="s">
        <v>821</v>
      </c>
    </row>
  </sheetData>
  <pageMargins left="0.75" right="0.75" top="1" bottom="1" header="0.5" footer="0.5"/>
  <pageSetup scale="92" orientation="portrait" r:id="rId1"/>
  <headerFooter alignWithMargins="0">
    <oddFooter>&amp;L&amp;8&amp;Z&amp;F&amp;A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3E96-6C01-4A50-BACE-D72FF19A4EEC}">
  <sheetPr syncVertical="1" syncRef="C6" transitionEvaluation="1">
    <pageSetUpPr fitToPage="1"/>
  </sheetPr>
  <dimension ref="A1:O65"/>
  <sheetViews>
    <sheetView showGridLines="0" zoomScaleNormal="100" zoomScaleSheetLayoutView="75" workbookViewId="0">
      <pane xSplit="2" ySplit="5" topLeftCell="C6" activePane="bottomRight" state="frozen"/>
      <selection pane="topRight" activeCell="E57" sqref="E57"/>
      <selection pane="bottomLeft" activeCell="E57" sqref="E57"/>
      <selection pane="bottomRight" activeCell="H13" sqref="H13"/>
    </sheetView>
  </sheetViews>
  <sheetFormatPr defaultColWidth="12.54296875" defaultRowHeight="14.5" x14ac:dyDescent="0.35"/>
  <cols>
    <col min="1" max="1" width="18.453125" style="400" customWidth="1"/>
    <col min="2" max="2" width="67.54296875" style="400" bestFit="1" customWidth="1"/>
    <col min="3" max="7" width="12.7265625" style="400" customWidth="1"/>
    <col min="8" max="14" width="12.54296875" style="400"/>
    <col min="15" max="15" width="12.54296875" style="522"/>
    <col min="16" max="16384" width="12.54296875" style="400"/>
  </cols>
  <sheetData>
    <row r="1" spans="1:15" ht="15" thickBot="1" x14ac:dyDescent="0.4">
      <c r="A1" s="1514" t="s">
        <v>822</v>
      </c>
      <c r="B1" s="1598"/>
      <c r="C1" s="6"/>
      <c r="D1" s="390"/>
      <c r="E1" s="340" t="s">
        <v>823</v>
      </c>
      <c r="F1" s="521"/>
    </row>
    <row r="2" spans="1:15" ht="15" thickBot="1" x14ac:dyDescent="0.4">
      <c r="A2" s="39" t="s">
        <v>45</v>
      </c>
      <c r="B2" s="523" t="str">
        <f>'FS-Balance Sheet 3.04'!B4</f>
        <v>Select Contractor Name</v>
      </c>
    </row>
    <row r="3" spans="1:15" ht="15" thickBot="1" x14ac:dyDescent="0.4">
      <c r="A3" s="39" t="s">
        <v>555</v>
      </c>
      <c r="B3" s="40" t="str">
        <f>'Instruction &amp; Audit Report B '!C22</f>
        <v>mm/dd/yyyy</v>
      </c>
      <c r="H3" s="2306" t="s">
        <v>824</v>
      </c>
      <c r="I3" s="2307"/>
      <c r="J3" s="2307"/>
      <c r="K3" s="2307"/>
      <c r="L3" s="2307"/>
      <c r="M3" s="2307"/>
      <c r="N3" s="2307"/>
      <c r="O3" s="2308"/>
    </row>
    <row r="4" spans="1:15" x14ac:dyDescent="0.35">
      <c r="A4" s="524"/>
      <c r="B4" s="525"/>
      <c r="C4" s="1599" t="s">
        <v>825</v>
      </c>
      <c r="D4" s="1600" t="s">
        <v>826</v>
      </c>
      <c r="E4" s="1430" t="s">
        <v>827</v>
      </c>
      <c r="F4" s="1600" t="s">
        <v>826</v>
      </c>
      <c r="G4" s="1430" t="s">
        <v>828</v>
      </c>
      <c r="H4" s="1901"/>
      <c r="I4" s="1902"/>
      <c r="J4" s="1902"/>
      <c r="K4" s="1902"/>
      <c r="L4" s="1902"/>
      <c r="M4" s="1902"/>
      <c r="N4" s="1903"/>
      <c r="O4" s="1904"/>
    </row>
    <row r="5" spans="1:15" ht="15" thickBot="1" x14ac:dyDescent="0.4">
      <c r="C5" s="1601" t="s">
        <v>511</v>
      </c>
      <c r="D5" s="1602" t="s">
        <v>829</v>
      </c>
      <c r="E5" s="1431" t="s">
        <v>826</v>
      </c>
      <c r="F5" s="1602" t="s">
        <v>829</v>
      </c>
      <c r="G5" s="1431" t="s">
        <v>826</v>
      </c>
      <c r="H5" s="1905" t="s">
        <v>830</v>
      </c>
      <c r="I5" s="1906" t="s">
        <v>831</v>
      </c>
      <c r="J5" s="1906" t="s">
        <v>832</v>
      </c>
      <c r="K5" s="1906" t="s">
        <v>833</v>
      </c>
      <c r="L5" s="1906" t="s">
        <v>834</v>
      </c>
      <c r="M5" s="1906" t="s">
        <v>835</v>
      </c>
      <c r="N5" s="1907" t="s">
        <v>836</v>
      </c>
      <c r="O5" s="1908" t="s">
        <v>470</v>
      </c>
    </row>
    <row r="6" spans="1:15" x14ac:dyDescent="0.35">
      <c r="A6" s="526" t="s">
        <v>837</v>
      </c>
      <c r="B6" s="527"/>
      <c r="C6" s="528"/>
      <c r="D6" s="529"/>
      <c r="E6" s="530"/>
      <c r="F6" s="531"/>
      <c r="G6" s="530"/>
      <c r="H6" s="528"/>
      <c r="I6" s="532"/>
      <c r="J6" s="532"/>
      <c r="K6" s="528"/>
      <c r="L6" s="532"/>
      <c r="M6" s="532"/>
      <c r="N6" s="529"/>
      <c r="O6" s="533"/>
    </row>
    <row r="7" spans="1:15" x14ac:dyDescent="0.35">
      <c r="A7" s="411" t="s">
        <v>83</v>
      </c>
      <c r="B7" s="450" t="s">
        <v>84</v>
      </c>
      <c r="C7" s="535">
        <v>0</v>
      </c>
      <c r="D7" s="536">
        <v>0</v>
      </c>
      <c r="E7" s="534">
        <f>C7+D7</f>
        <v>0</v>
      </c>
      <c r="F7" s="537">
        <v>0</v>
      </c>
      <c r="G7" s="534">
        <f>E7+F7</f>
        <v>0</v>
      </c>
      <c r="H7" s="528"/>
      <c r="I7" s="532"/>
      <c r="J7" s="532"/>
      <c r="K7" s="532"/>
      <c r="L7" s="532"/>
      <c r="M7" s="532"/>
      <c r="N7" s="529"/>
      <c r="O7" s="533">
        <f>SUM(H7:N7)</f>
        <v>0</v>
      </c>
    </row>
    <row r="8" spans="1:15" x14ac:dyDescent="0.35">
      <c r="A8" s="411" t="s">
        <v>85</v>
      </c>
      <c r="B8" s="450" t="s">
        <v>86</v>
      </c>
      <c r="C8" s="535">
        <v>0</v>
      </c>
      <c r="D8" s="536">
        <v>0</v>
      </c>
      <c r="E8" s="534">
        <f t="shared" ref="E8:E15" si="0">C8+D8</f>
        <v>0</v>
      </c>
      <c r="F8" s="537">
        <v>0</v>
      </c>
      <c r="G8" s="534">
        <f t="shared" ref="G8:G61" si="1">E8+F8</f>
        <v>0</v>
      </c>
      <c r="H8" s="528"/>
      <c r="I8" s="532"/>
      <c r="J8" s="532"/>
      <c r="K8" s="532"/>
      <c r="L8" s="532"/>
      <c r="M8" s="532"/>
      <c r="N8" s="529"/>
      <c r="O8" s="533">
        <f t="shared" ref="O8:O31" si="2">SUM(H8:N8)</f>
        <v>0</v>
      </c>
    </row>
    <row r="9" spans="1:15" x14ac:dyDescent="0.35">
      <c r="A9" s="411" t="s">
        <v>87</v>
      </c>
      <c r="B9" s="450" t="s">
        <v>88</v>
      </c>
      <c r="C9" s="535">
        <v>0</v>
      </c>
      <c r="D9" s="536">
        <v>0</v>
      </c>
      <c r="E9" s="534">
        <f t="shared" si="0"/>
        <v>0</v>
      </c>
      <c r="F9" s="536">
        <v>0</v>
      </c>
      <c r="G9" s="534">
        <f t="shared" si="1"/>
        <v>0</v>
      </c>
      <c r="H9" s="528"/>
      <c r="I9" s="532"/>
      <c r="J9" s="532"/>
      <c r="K9" s="532"/>
      <c r="L9" s="532"/>
      <c r="M9" s="532"/>
      <c r="N9" s="529"/>
      <c r="O9" s="533">
        <f t="shared" si="2"/>
        <v>0</v>
      </c>
    </row>
    <row r="10" spans="1:15" x14ac:dyDescent="0.35">
      <c r="A10" s="411" t="s">
        <v>89</v>
      </c>
      <c r="B10" s="450" t="s">
        <v>90</v>
      </c>
      <c r="C10" s="535">
        <v>0</v>
      </c>
      <c r="D10" s="536">
        <v>0</v>
      </c>
      <c r="E10" s="534">
        <f t="shared" si="0"/>
        <v>0</v>
      </c>
      <c r="F10" s="536">
        <v>0</v>
      </c>
      <c r="G10" s="534">
        <f>E10+F10</f>
        <v>0</v>
      </c>
      <c r="H10" s="528"/>
      <c r="I10" s="532"/>
      <c r="J10" s="532"/>
      <c r="K10" s="532"/>
      <c r="L10" s="532"/>
      <c r="M10" s="532"/>
      <c r="N10" s="529"/>
      <c r="O10" s="533">
        <f t="shared" si="2"/>
        <v>0</v>
      </c>
    </row>
    <row r="11" spans="1:15" x14ac:dyDescent="0.35">
      <c r="A11" s="411" t="s">
        <v>91</v>
      </c>
      <c r="B11" s="538" t="s">
        <v>92</v>
      </c>
      <c r="C11" s="535">
        <v>0</v>
      </c>
      <c r="D11" s="536">
        <v>0</v>
      </c>
      <c r="E11" s="534">
        <f>C11+D11</f>
        <v>0</v>
      </c>
      <c r="F11" s="536">
        <v>0</v>
      </c>
      <c r="G11" s="534">
        <f>E11+F11</f>
        <v>0</v>
      </c>
      <c r="H11" s="528"/>
      <c r="I11" s="532"/>
      <c r="J11" s="532"/>
      <c r="K11" s="532"/>
      <c r="L11" s="532"/>
      <c r="M11" s="532"/>
      <c r="N11" s="529"/>
      <c r="O11" s="533">
        <f>SUM(H11:N11)</f>
        <v>0</v>
      </c>
    </row>
    <row r="12" spans="1:15" x14ac:dyDescent="0.35">
      <c r="A12" s="411" t="s">
        <v>93</v>
      </c>
      <c r="B12" s="450" t="s">
        <v>94</v>
      </c>
      <c r="C12" s="535">
        <v>0</v>
      </c>
      <c r="D12" s="536">
        <v>0</v>
      </c>
      <c r="E12" s="534">
        <f t="shared" si="0"/>
        <v>0</v>
      </c>
      <c r="F12" s="536">
        <v>0</v>
      </c>
      <c r="G12" s="534">
        <f t="shared" si="1"/>
        <v>0</v>
      </c>
      <c r="H12" s="528"/>
      <c r="I12" s="532"/>
      <c r="J12" s="532"/>
      <c r="K12" s="532"/>
      <c r="L12" s="532"/>
      <c r="M12" s="532"/>
      <c r="N12" s="529"/>
      <c r="O12" s="533">
        <f t="shared" si="2"/>
        <v>0</v>
      </c>
    </row>
    <row r="13" spans="1:15" x14ac:dyDescent="0.35">
      <c r="A13" s="411" t="s">
        <v>95</v>
      </c>
      <c r="B13" s="450" t="s">
        <v>96</v>
      </c>
      <c r="C13" s="535">
        <v>0</v>
      </c>
      <c r="D13" s="536">
        <v>0</v>
      </c>
      <c r="E13" s="534">
        <f>C13+D13</f>
        <v>0</v>
      </c>
      <c r="F13" s="536">
        <v>0</v>
      </c>
      <c r="G13" s="534">
        <f>E13+F13</f>
        <v>0</v>
      </c>
      <c r="H13" s="528"/>
      <c r="I13" s="532"/>
      <c r="J13" s="532"/>
      <c r="K13" s="532"/>
      <c r="L13" s="532"/>
      <c r="M13" s="532"/>
      <c r="N13" s="529"/>
      <c r="O13" s="533">
        <f>SUM(H13:N13)</f>
        <v>0</v>
      </c>
    </row>
    <row r="14" spans="1:15" x14ac:dyDescent="0.35">
      <c r="A14" s="411" t="s">
        <v>97</v>
      </c>
      <c r="B14" s="539" t="s">
        <v>98</v>
      </c>
      <c r="C14" s="535">
        <v>0</v>
      </c>
      <c r="D14" s="536">
        <v>0</v>
      </c>
      <c r="E14" s="534">
        <f>C14+D14</f>
        <v>0</v>
      </c>
      <c r="F14" s="536">
        <v>0</v>
      </c>
      <c r="G14" s="534">
        <f>E14+F14</f>
        <v>0</v>
      </c>
      <c r="H14" s="528"/>
      <c r="I14" s="532"/>
      <c r="J14" s="532"/>
      <c r="K14" s="532"/>
      <c r="L14" s="532"/>
      <c r="M14" s="532"/>
      <c r="N14" s="529"/>
      <c r="O14" s="533">
        <f>SUM(H14:N14)</f>
        <v>0</v>
      </c>
    </row>
    <row r="15" spans="1:15" ht="15" thickBot="1" x14ac:dyDescent="0.4">
      <c r="A15" s="411" t="s">
        <v>99</v>
      </c>
      <c r="B15" s="450" t="s">
        <v>100</v>
      </c>
      <c r="C15" s="535">
        <v>0</v>
      </c>
      <c r="D15" s="536">
        <v>0</v>
      </c>
      <c r="E15" s="534">
        <f t="shared" si="0"/>
        <v>0</v>
      </c>
      <c r="F15" s="536">
        <v>0</v>
      </c>
      <c r="G15" s="534">
        <f t="shared" si="1"/>
        <v>0</v>
      </c>
      <c r="H15" s="528"/>
      <c r="I15" s="532"/>
      <c r="J15" s="532"/>
      <c r="K15" s="532"/>
      <c r="L15" s="532"/>
      <c r="M15" s="532"/>
      <c r="N15" s="529"/>
      <c r="O15" s="533">
        <f t="shared" si="2"/>
        <v>0</v>
      </c>
    </row>
    <row r="16" spans="1:15" ht="15" thickBot="1" x14ac:dyDescent="0.4">
      <c r="A16" s="421">
        <v>10199</v>
      </c>
      <c r="B16" s="540" t="s">
        <v>838</v>
      </c>
      <c r="C16" s="541">
        <f>SUM(C7:C15)</f>
        <v>0</v>
      </c>
      <c r="D16" s="542">
        <f>SUM(D7:D15)</f>
        <v>0</v>
      </c>
      <c r="E16" s="543">
        <f>SUM(E7:E15)</f>
        <v>0</v>
      </c>
      <c r="F16" s="544">
        <f>SUM(F7:F15)</f>
        <v>0</v>
      </c>
      <c r="G16" s="543">
        <f>E16+F16</f>
        <v>0</v>
      </c>
      <c r="H16" s="528"/>
      <c r="I16" s="532"/>
      <c r="J16" s="532"/>
      <c r="K16" s="532"/>
      <c r="L16" s="532"/>
      <c r="M16" s="532"/>
      <c r="N16" s="529"/>
      <c r="O16" s="533"/>
    </row>
    <row r="17" spans="1:15" x14ac:dyDescent="0.35">
      <c r="A17" s="457" t="s">
        <v>839</v>
      </c>
      <c r="B17" s="538"/>
      <c r="C17" s="545"/>
      <c r="D17" s="546"/>
      <c r="E17" s="534"/>
      <c r="F17" s="547"/>
      <c r="G17" s="534"/>
      <c r="H17" s="528"/>
      <c r="I17" s="532"/>
      <c r="J17" s="532"/>
      <c r="K17" s="532"/>
      <c r="L17" s="532"/>
      <c r="M17" s="532"/>
      <c r="N17" s="529"/>
      <c r="O17" s="533"/>
    </row>
    <row r="18" spans="1:15" x14ac:dyDescent="0.35">
      <c r="A18" s="411" t="s">
        <v>102</v>
      </c>
      <c r="B18" s="538" t="s">
        <v>840</v>
      </c>
      <c r="C18" s="535">
        <v>0</v>
      </c>
      <c r="D18" s="535">
        <v>0</v>
      </c>
      <c r="E18" s="534">
        <f>C18+D18</f>
        <v>0</v>
      </c>
      <c r="F18" s="535">
        <v>0</v>
      </c>
      <c r="G18" s="534">
        <f>E18+F18</f>
        <v>0</v>
      </c>
      <c r="H18" s="528"/>
      <c r="I18" s="532"/>
      <c r="J18" s="532"/>
      <c r="K18" s="532"/>
      <c r="L18" s="532"/>
      <c r="M18" s="532"/>
      <c r="N18" s="529"/>
      <c r="O18" s="533">
        <f t="shared" si="2"/>
        <v>0</v>
      </c>
    </row>
    <row r="19" spans="1:15" x14ac:dyDescent="0.35">
      <c r="A19" s="411" t="s">
        <v>104</v>
      </c>
      <c r="B19" s="538" t="s">
        <v>841</v>
      </c>
      <c r="C19" s="535">
        <v>0</v>
      </c>
      <c r="D19" s="535">
        <v>0</v>
      </c>
      <c r="E19" s="534">
        <f>C19+D19</f>
        <v>0</v>
      </c>
      <c r="F19" s="535">
        <v>0</v>
      </c>
      <c r="G19" s="534">
        <f t="shared" si="1"/>
        <v>0</v>
      </c>
      <c r="H19" s="528"/>
      <c r="I19" s="532"/>
      <c r="J19" s="532"/>
      <c r="K19" s="532"/>
      <c r="L19" s="532"/>
      <c r="M19" s="532"/>
      <c r="N19" s="529"/>
      <c r="O19" s="533">
        <f t="shared" si="2"/>
        <v>0</v>
      </c>
    </row>
    <row r="20" spans="1:15" x14ac:dyDescent="0.35">
      <c r="A20" s="411" t="s">
        <v>106</v>
      </c>
      <c r="B20" s="538" t="s">
        <v>842</v>
      </c>
      <c r="C20" s="535">
        <v>0</v>
      </c>
      <c r="D20" s="535">
        <v>0</v>
      </c>
      <c r="E20" s="548">
        <f>C20+D20</f>
        <v>0</v>
      </c>
      <c r="F20" s="535">
        <v>0</v>
      </c>
      <c r="G20" s="534">
        <f t="shared" si="1"/>
        <v>0</v>
      </c>
      <c r="H20" s="528"/>
      <c r="I20" s="532"/>
      <c r="J20" s="532"/>
      <c r="K20" s="532"/>
      <c r="L20" s="532"/>
      <c r="M20" s="532"/>
      <c r="N20" s="529"/>
      <c r="O20" s="533">
        <f t="shared" si="2"/>
        <v>0</v>
      </c>
    </row>
    <row r="21" spans="1:15" x14ac:dyDescent="0.35">
      <c r="A21" s="411" t="s">
        <v>108</v>
      </c>
      <c r="B21" s="538" t="s">
        <v>843</v>
      </c>
      <c r="C21" s="535">
        <v>0</v>
      </c>
      <c r="D21" s="535">
        <v>0</v>
      </c>
      <c r="E21" s="534">
        <f>C21+D21</f>
        <v>0</v>
      </c>
      <c r="F21" s="535">
        <v>0</v>
      </c>
      <c r="G21" s="534">
        <f t="shared" si="1"/>
        <v>0</v>
      </c>
      <c r="H21" s="528"/>
      <c r="I21" s="532"/>
      <c r="J21" s="532"/>
      <c r="K21" s="532"/>
      <c r="L21" s="532"/>
      <c r="M21" s="532"/>
      <c r="N21" s="529"/>
      <c r="O21" s="533">
        <f t="shared" si="2"/>
        <v>0</v>
      </c>
    </row>
    <row r="22" spans="1:15" ht="15" thickBot="1" x14ac:dyDescent="0.4">
      <c r="A22" s="411" t="s">
        <v>110</v>
      </c>
      <c r="B22" s="538" t="s">
        <v>844</v>
      </c>
      <c r="C22" s="535">
        <v>0</v>
      </c>
      <c r="D22" s="535">
        <v>0</v>
      </c>
      <c r="E22" s="534">
        <f>C22+D22</f>
        <v>0</v>
      </c>
      <c r="F22" s="535">
        <v>0</v>
      </c>
      <c r="G22" s="534">
        <f t="shared" si="1"/>
        <v>0</v>
      </c>
      <c r="H22" s="528"/>
      <c r="I22" s="532"/>
      <c r="J22" s="532"/>
      <c r="K22" s="532"/>
      <c r="L22" s="532"/>
      <c r="M22" s="532"/>
      <c r="N22" s="529"/>
      <c r="O22" s="533">
        <f t="shared" si="2"/>
        <v>0</v>
      </c>
    </row>
    <row r="23" spans="1:15" ht="15" thickBot="1" x14ac:dyDescent="0.4">
      <c r="A23" s="421">
        <v>10299</v>
      </c>
      <c r="B23" s="540" t="s">
        <v>845</v>
      </c>
      <c r="C23" s="541">
        <f>SUM(C18:C22)</f>
        <v>0</v>
      </c>
      <c r="D23" s="542">
        <f>SUM(D18:D22)</f>
        <v>0</v>
      </c>
      <c r="E23" s="543">
        <f>SUM(E18:E22)</f>
        <v>0</v>
      </c>
      <c r="F23" s="544">
        <f>SUM(F18:F22)</f>
        <v>0</v>
      </c>
      <c r="G23" s="543">
        <f>SUM(G18:G22)</f>
        <v>0</v>
      </c>
      <c r="H23" s="528"/>
      <c r="I23" s="532"/>
      <c r="J23" s="532"/>
      <c r="K23" s="532"/>
      <c r="L23" s="532"/>
      <c r="M23" s="532"/>
      <c r="N23" s="529"/>
      <c r="O23" s="533"/>
    </row>
    <row r="24" spans="1:15" x14ac:dyDescent="0.35">
      <c r="A24" s="399" t="s">
        <v>113</v>
      </c>
      <c r="B24" s="538"/>
      <c r="C24" s="545"/>
      <c r="D24" s="546"/>
      <c r="E24" s="534"/>
      <c r="F24" s="547"/>
      <c r="G24" s="534"/>
      <c r="H24" s="528"/>
      <c r="I24" s="532"/>
      <c r="J24" s="532"/>
      <c r="K24" s="532"/>
      <c r="L24" s="532"/>
      <c r="M24" s="532"/>
      <c r="N24" s="529"/>
      <c r="O24" s="533"/>
    </row>
    <row r="25" spans="1:15" x14ac:dyDescent="0.35">
      <c r="A25" s="411" t="s">
        <v>114</v>
      </c>
      <c r="B25" s="538" t="s">
        <v>115</v>
      </c>
      <c r="C25" s="535">
        <v>0</v>
      </c>
      <c r="D25" s="535">
        <v>0</v>
      </c>
      <c r="E25" s="534">
        <f t="shared" ref="E25:E31" si="3">C25+D25</f>
        <v>0</v>
      </c>
      <c r="F25" s="535">
        <v>0</v>
      </c>
      <c r="G25" s="534">
        <f t="shared" si="1"/>
        <v>0</v>
      </c>
      <c r="H25" s="528"/>
      <c r="I25" s="532"/>
      <c r="J25" s="532"/>
      <c r="K25" s="532"/>
      <c r="L25" s="532"/>
      <c r="M25" s="532"/>
      <c r="N25" s="529"/>
      <c r="O25" s="533">
        <f t="shared" si="2"/>
        <v>0</v>
      </c>
    </row>
    <row r="26" spans="1:15" x14ac:dyDescent="0.35">
      <c r="A26" s="411" t="s">
        <v>116</v>
      </c>
      <c r="B26" s="538" t="s">
        <v>117</v>
      </c>
      <c r="C26" s="535">
        <v>0</v>
      </c>
      <c r="D26" s="535">
        <v>0</v>
      </c>
      <c r="E26" s="534">
        <f t="shared" si="3"/>
        <v>0</v>
      </c>
      <c r="F26" s="535">
        <v>0</v>
      </c>
      <c r="G26" s="534">
        <f t="shared" si="1"/>
        <v>0</v>
      </c>
      <c r="H26" s="528"/>
      <c r="I26" s="532"/>
      <c r="J26" s="532"/>
      <c r="K26" s="532"/>
      <c r="L26" s="532"/>
      <c r="M26" s="532"/>
      <c r="N26" s="529"/>
      <c r="O26" s="533">
        <f t="shared" si="2"/>
        <v>0</v>
      </c>
    </row>
    <row r="27" spans="1:15" x14ac:dyDescent="0.35">
      <c r="A27" s="411" t="s">
        <v>118</v>
      </c>
      <c r="B27" s="538" t="s">
        <v>119</v>
      </c>
      <c r="C27" s="535">
        <v>0</v>
      </c>
      <c r="D27" s="535">
        <v>0</v>
      </c>
      <c r="E27" s="534">
        <f t="shared" si="3"/>
        <v>0</v>
      </c>
      <c r="F27" s="535">
        <v>0</v>
      </c>
      <c r="G27" s="534">
        <f t="shared" si="1"/>
        <v>0</v>
      </c>
      <c r="H27" s="528"/>
      <c r="I27" s="532"/>
      <c r="J27" s="532"/>
      <c r="K27" s="532"/>
      <c r="L27" s="532"/>
      <c r="M27" s="532"/>
      <c r="N27" s="529"/>
      <c r="O27" s="533">
        <f t="shared" si="2"/>
        <v>0</v>
      </c>
    </row>
    <row r="28" spans="1:15" x14ac:dyDescent="0.35">
      <c r="A28" s="411" t="s">
        <v>120</v>
      </c>
      <c r="B28" s="450" t="s">
        <v>846</v>
      </c>
      <c r="C28" s="535">
        <v>0</v>
      </c>
      <c r="D28" s="535">
        <v>0</v>
      </c>
      <c r="E28" s="534">
        <f t="shared" si="3"/>
        <v>0</v>
      </c>
      <c r="F28" s="535">
        <v>0</v>
      </c>
      <c r="G28" s="534">
        <f t="shared" si="1"/>
        <v>0</v>
      </c>
      <c r="H28" s="528"/>
      <c r="I28" s="532"/>
      <c r="J28" s="532"/>
      <c r="K28" s="532"/>
      <c r="L28" s="532"/>
      <c r="M28" s="532"/>
      <c r="N28" s="529"/>
      <c r="O28" s="533">
        <f t="shared" si="2"/>
        <v>0</v>
      </c>
    </row>
    <row r="29" spans="1:15" x14ac:dyDescent="0.35">
      <c r="A29" s="411" t="s">
        <v>122</v>
      </c>
      <c r="B29" s="450" t="s">
        <v>847</v>
      </c>
      <c r="C29" s="535">
        <v>0</v>
      </c>
      <c r="D29" s="535">
        <v>0</v>
      </c>
      <c r="E29" s="534">
        <f>C29+D29</f>
        <v>0</v>
      </c>
      <c r="F29" s="535">
        <v>0</v>
      </c>
      <c r="G29" s="534">
        <f>E29+F29</f>
        <v>0</v>
      </c>
      <c r="H29" s="528"/>
      <c r="I29" s="532"/>
      <c r="J29" s="532"/>
      <c r="K29" s="532"/>
      <c r="L29" s="532"/>
      <c r="M29" s="532"/>
      <c r="N29" s="529"/>
      <c r="O29" s="533">
        <f>SUM(H29:N29)</f>
        <v>0</v>
      </c>
    </row>
    <row r="30" spans="1:15" x14ac:dyDescent="0.35">
      <c r="A30" s="411" t="s">
        <v>124</v>
      </c>
      <c r="B30" s="450" t="s">
        <v>125</v>
      </c>
      <c r="C30" s="549">
        <f>SUM(C25:C29)</f>
        <v>0</v>
      </c>
      <c r="D30" s="550">
        <f>SUM(D25:D29)</f>
        <v>0</v>
      </c>
      <c r="E30" s="551">
        <f>SUM(E25:E29)</f>
        <v>0</v>
      </c>
      <c r="F30" s="552">
        <f>SUM(F25:F29)</f>
        <v>0</v>
      </c>
      <c r="G30" s="551">
        <f>SUM(G25:G29)</f>
        <v>0</v>
      </c>
      <c r="H30" s="528"/>
      <c r="I30" s="532"/>
      <c r="J30" s="532"/>
      <c r="K30" s="532"/>
      <c r="L30" s="532"/>
      <c r="M30" s="532"/>
      <c r="N30" s="529"/>
      <c r="O30" s="533">
        <f t="shared" si="2"/>
        <v>0</v>
      </c>
    </row>
    <row r="31" spans="1:15" ht="15" thickBot="1" x14ac:dyDescent="0.4">
      <c r="A31" s="411" t="s">
        <v>126</v>
      </c>
      <c r="B31" s="450" t="s">
        <v>127</v>
      </c>
      <c r="C31" s="535">
        <v>0</v>
      </c>
      <c r="D31" s="535">
        <v>0</v>
      </c>
      <c r="E31" s="534">
        <f t="shared" si="3"/>
        <v>0</v>
      </c>
      <c r="F31" s="535">
        <v>0</v>
      </c>
      <c r="G31" s="534">
        <f t="shared" si="1"/>
        <v>0</v>
      </c>
      <c r="H31" s="528"/>
      <c r="I31" s="532"/>
      <c r="J31" s="532"/>
      <c r="K31" s="532"/>
      <c r="L31" s="532"/>
      <c r="M31" s="532"/>
      <c r="N31" s="529"/>
      <c r="O31" s="533">
        <f t="shared" si="2"/>
        <v>0</v>
      </c>
    </row>
    <row r="32" spans="1:15" ht="15" thickBot="1" x14ac:dyDescent="0.4">
      <c r="A32" s="553">
        <v>10399</v>
      </c>
      <c r="B32" s="554" t="s">
        <v>848</v>
      </c>
      <c r="C32" s="555">
        <f>SUM(C30:C31)</f>
        <v>0</v>
      </c>
      <c r="D32" s="556">
        <f>SUM(D30:D31)</f>
        <v>0</v>
      </c>
      <c r="E32" s="557">
        <f>SUM(E30:E31)</f>
        <v>0</v>
      </c>
      <c r="F32" s="558">
        <f>SUM(F30:F31)</f>
        <v>0</v>
      </c>
      <c r="G32" s="557">
        <f>SUM(G30:G31)</f>
        <v>0</v>
      </c>
      <c r="H32" s="528"/>
      <c r="I32" s="532"/>
      <c r="J32" s="532"/>
      <c r="K32" s="532"/>
      <c r="L32" s="532"/>
      <c r="M32" s="532"/>
      <c r="N32" s="529"/>
      <c r="O32" s="533"/>
    </row>
    <row r="33" spans="1:15" ht="15" thickBot="1" x14ac:dyDescent="0.4">
      <c r="A33" s="559">
        <v>19999</v>
      </c>
      <c r="B33" s="560" t="s">
        <v>849</v>
      </c>
      <c r="C33" s="561">
        <f>C16+C23+C32</f>
        <v>0</v>
      </c>
      <c r="D33" s="562">
        <f>D16+D23+D32</f>
        <v>0</v>
      </c>
      <c r="E33" s="563">
        <f>E16+E23+E32</f>
        <v>0</v>
      </c>
      <c r="F33" s="564">
        <f>F16+F23+F32</f>
        <v>0</v>
      </c>
      <c r="G33" s="563">
        <f>E33+F33</f>
        <v>0</v>
      </c>
      <c r="H33" s="1785">
        <f t="shared" ref="H33:O33" si="4">SUM(H6:H32)</f>
        <v>0</v>
      </c>
      <c r="I33" s="1786">
        <f t="shared" si="4"/>
        <v>0</v>
      </c>
      <c r="J33" s="1786">
        <f t="shared" si="4"/>
        <v>0</v>
      </c>
      <c r="K33" s="1786">
        <f t="shared" si="4"/>
        <v>0</v>
      </c>
      <c r="L33" s="1786">
        <f t="shared" si="4"/>
        <v>0</v>
      </c>
      <c r="M33" s="1786">
        <f t="shared" si="4"/>
        <v>0</v>
      </c>
      <c r="N33" s="1787">
        <f t="shared" si="4"/>
        <v>0</v>
      </c>
      <c r="O33" s="1788">
        <f t="shared" si="4"/>
        <v>0</v>
      </c>
    </row>
    <row r="34" spans="1:15" ht="15" thickBot="1" x14ac:dyDescent="0.4">
      <c r="A34" s="457" t="s">
        <v>850</v>
      </c>
      <c r="B34" s="538"/>
      <c r="C34" s="545"/>
      <c r="D34" s="546"/>
      <c r="E34" s="534"/>
      <c r="F34" s="547"/>
      <c r="G34" s="534"/>
      <c r="H34" s="1909" t="s">
        <v>830</v>
      </c>
      <c r="I34" s="1910" t="s">
        <v>831</v>
      </c>
      <c r="J34" s="1910" t="s">
        <v>832</v>
      </c>
      <c r="K34" s="1910" t="s">
        <v>833</v>
      </c>
      <c r="L34" s="1910" t="s">
        <v>834</v>
      </c>
      <c r="M34" s="1910" t="s">
        <v>835</v>
      </c>
      <c r="N34" s="1911" t="s">
        <v>836</v>
      </c>
      <c r="O34" s="1912" t="s">
        <v>470</v>
      </c>
    </row>
    <row r="35" spans="1:15" x14ac:dyDescent="0.35">
      <c r="A35" s="411" t="s">
        <v>132</v>
      </c>
      <c r="B35" s="450" t="s">
        <v>133</v>
      </c>
      <c r="C35" s="535">
        <v>0</v>
      </c>
      <c r="D35" s="535">
        <v>0</v>
      </c>
      <c r="E35" s="534">
        <f>C35+D35</f>
        <v>0</v>
      </c>
      <c r="F35" s="535">
        <v>0</v>
      </c>
      <c r="G35" s="534">
        <f>E35+F35</f>
        <v>0</v>
      </c>
      <c r="H35" s="565"/>
      <c r="I35" s="566"/>
      <c r="J35" s="566"/>
      <c r="K35" s="566"/>
      <c r="L35" s="566"/>
      <c r="M35" s="566"/>
      <c r="N35" s="567"/>
      <c r="O35" s="533">
        <f>SUM(H35:N35)</f>
        <v>0</v>
      </c>
    </row>
    <row r="36" spans="1:15" x14ac:dyDescent="0.35">
      <c r="A36" s="411" t="s">
        <v>134</v>
      </c>
      <c r="B36" s="450" t="s">
        <v>135</v>
      </c>
      <c r="C36" s="535">
        <v>0</v>
      </c>
      <c r="D36" s="535">
        <v>0</v>
      </c>
      <c r="E36" s="534">
        <f t="shared" ref="E36:E44" si="5">C36+D36</f>
        <v>0</v>
      </c>
      <c r="F36" s="535">
        <v>0</v>
      </c>
      <c r="G36" s="534">
        <f t="shared" si="1"/>
        <v>0</v>
      </c>
      <c r="H36" s="528"/>
      <c r="I36" s="532"/>
      <c r="J36" s="532"/>
      <c r="K36" s="532"/>
      <c r="L36" s="532"/>
      <c r="M36" s="532"/>
      <c r="N36" s="529"/>
      <c r="O36" s="533">
        <f t="shared" ref="O36:O61" si="6">SUM(H36:N36)</f>
        <v>0</v>
      </c>
    </row>
    <row r="37" spans="1:15" x14ac:dyDescent="0.35">
      <c r="A37" s="411" t="s">
        <v>136</v>
      </c>
      <c r="B37" s="450" t="s">
        <v>137</v>
      </c>
      <c r="C37" s="535">
        <v>0</v>
      </c>
      <c r="D37" s="535">
        <v>0</v>
      </c>
      <c r="E37" s="534">
        <f t="shared" si="5"/>
        <v>0</v>
      </c>
      <c r="F37" s="535">
        <v>0</v>
      </c>
      <c r="G37" s="534">
        <f t="shared" si="1"/>
        <v>0</v>
      </c>
      <c r="H37" s="528"/>
      <c r="I37" s="532"/>
      <c r="J37" s="532"/>
      <c r="K37" s="532"/>
      <c r="L37" s="532"/>
      <c r="M37" s="532"/>
      <c r="N37" s="529"/>
      <c r="O37" s="533">
        <f t="shared" si="6"/>
        <v>0</v>
      </c>
    </row>
    <row r="38" spans="1:15" x14ac:dyDescent="0.35">
      <c r="A38" s="411" t="s">
        <v>138</v>
      </c>
      <c r="B38" s="450" t="s">
        <v>704</v>
      </c>
      <c r="C38" s="535">
        <v>0</v>
      </c>
      <c r="D38" s="535">
        <v>0</v>
      </c>
      <c r="E38" s="534">
        <f>C38+D38</f>
        <v>0</v>
      </c>
      <c r="F38" s="535">
        <v>0</v>
      </c>
      <c r="G38" s="534">
        <f>E38+F38</f>
        <v>0</v>
      </c>
      <c r="H38" s="528"/>
      <c r="I38" s="532"/>
      <c r="J38" s="532"/>
      <c r="K38" s="532"/>
      <c r="L38" s="532"/>
      <c r="M38" s="532"/>
      <c r="N38" s="529"/>
      <c r="O38" s="533">
        <f>SUM(H38:N38)</f>
        <v>0</v>
      </c>
    </row>
    <row r="39" spans="1:15" x14ac:dyDescent="0.35">
      <c r="A39" s="411" t="s">
        <v>140</v>
      </c>
      <c r="B39" s="450" t="s">
        <v>141</v>
      </c>
      <c r="C39" s="568">
        <f>C38</f>
        <v>0</v>
      </c>
      <c r="D39" s="569">
        <f>D38</f>
        <v>0</v>
      </c>
      <c r="E39" s="570">
        <f>E38</f>
        <v>0</v>
      </c>
      <c r="F39" s="571">
        <f>F38</f>
        <v>0</v>
      </c>
      <c r="G39" s="570">
        <f>G38</f>
        <v>0</v>
      </c>
      <c r="H39" s="528"/>
      <c r="I39" s="532"/>
      <c r="J39" s="532"/>
      <c r="K39" s="532"/>
      <c r="L39" s="532"/>
      <c r="M39" s="532"/>
      <c r="N39" s="529"/>
      <c r="O39" s="533">
        <f t="shared" si="6"/>
        <v>0</v>
      </c>
    </row>
    <row r="40" spans="1:15" x14ac:dyDescent="0.35">
      <c r="A40" s="411" t="s">
        <v>142</v>
      </c>
      <c r="B40" s="450" t="s">
        <v>851</v>
      </c>
      <c r="C40" s="535">
        <v>0</v>
      </c>
      <c r="D40" s="535">
        <v>0</v>
      </c>
      <c r="E40" s="534">
        <f t="shared" si="5"/>
        <v>0</v>
      </c>
      <c r="F40" s="535">
        <v>0</v>
      </c>
      <c r="G40" s="534">
        <f t="shared" si="1"/>
        <v>0</v>
      </c>
      <c r="H40" s="528"/>
      <c r="I40" s="532"/>
      <c r="J40" s="532"/>
      <c r="K40" s="532"/>
      <c r="L40" s="532"/>
      <c r="M40" s="532"/>
      <c r="N40" s="529"/>
      <c r="O40" s="533">
        <f t="shared" si="6"/>
        <v>0</v>
      </c>
    </row>
    <row r="41" spans="1:15" x14ac:dyDescent="0.35">
      <c r="A41" s="411" t="s">
        <v>144</v>
      </c>
      <c r="B41" s="450" t="s">
        <v>852</v>
      </c>
      <c r="C41" s="535">
        <v>0</v>
      </c>
      <c r="D41" s="535">
        <v>0</v>
      </c>
      <c r="E41" s="534">
        <f>C41+D41</f>
        <v>0</v>
      </c>
      <c r="F41" s="535">
        <v>0</v>
      </c>
      <c r="G41" s="534">
        <f>E41+F41</f>
        <v>0</v>
      </c>
      <c r="H41" s="528"/>
      <c r="I41" s="532"/>
      <c r="J41" s="532"/>
      <c r="K41" s="532"/>
      <c r="L41" s="532"/>
      <c r="M41" s="532"/>
      <c r="N41" s="529"/>
      <c r="O41" s="533">
        <f t="shared" si="6"/>
        <v>0</v>
      </c>
    </row>
    <row r="42" spans="1:15" x14ac:dyDescent="0.35">
      <c r="A42" s="411" t="s">
        <v>146</v>
      </c>
      <c r="B42" s="450" t="s">
        <v>853</v>
      </c>
      <c r="C42" s="535">
        <v>0</v>
      </c>
      <c r="D42" s="535">
        <v>0</v>
      </c>
      <c r="E42" s="534">
        <f t="shared" si="5"/>
        <v>0</v>
      </c>
      <c r="F42" s="535">
        <v>0</v>
      </c>
      <c r="G42" s="534">
        <f t="shared" si="1"/>
        <v>0</v>
      </c>
      <c r="H42" s="528"/>
      <c r="I42" s="532"/>
      <c r="J42" s="532"/>
      <c r="K42" s="532"/>
      <c r="L42" s="532"/>
      <c r="M42" s="532"/>
      <c r="N42" s="529"/>
      <c r="O42" s="533">
        <f t="shared" si="6"/>
        <v>0</v>
      </c>
    </row>
    <row r="43" spans="1:15" x14ac:dyDescent="0.35">
      <c r="A43" s="411" t="s">
        <v>148</v>
      </c>
      <c r="B43" s="450" t="s">
        <v>149</v>
      </c>
      <c r="C43" s="535">
        <v>0</v>
      </c>
      <c r="D43" s="535">
        <v>0</v>
      </c>
      <c r="E43" s="534">
        <f t="shared" si="5"/>
        <v>0</v>
      </c>
      <c r="F43" s="535">
        <v>0</v>
      </c>
      <c r="G43" s="534">
        <f t="shared" si="1"/>
        <v>0</v>
      </c>
      <c r="H43" s="528"/>
      <c r="I43" s="532"/>
      <c r="J43" s="532"/>
      <c r="K43" s="532"/>
      <c r="L43" s="532"/>
      <c r="M43" s="532"/>
      <c r="N43" s="529"/>
      <c r="O43" s="533">
        <f t="shared" si="6"/>
        <v>0</v>
      </c>
    </row>
    <row r="44" spans="1:15" ht="15" thickBot="1" x14ac:dyDescent="0.4">
      <c r="A44" s="411" t="s">
        <v>150</v>
      </c>
      <c r="B44" s="450" t="s">
        <v>854</v>
      </c>
      <c r="C44" s="535">
        <v>0</v>
      </c>
      <c r="D44" s="535">
        <v>0</v>
      </c>
      <c r="E44" s="534">
        <f t="shared" si="5"/>
        <v>0</v>
      </c>
      <c r="F44" s="535">
        <v>0</v>
      </c>
      <c r="G44" s="534">
        <f t="shared" si="1"/>
        <v>0</v>
      </c>
      <c r="H44" s="528"/>
      <c r="I44" s="532"/>
      <c r="J44" s="532"/>
      <c r="K44" s="532"/>
      <c r="L44" s="532"/>
      <c r="M44" s="532"/>
      <c r="N44" s="529"/>
      <c r="O44" s="533">
        <f t="shared" si="6"/>
        <v>0</v>
      </c>
    </row>
    <row r="45" spans="1:15" ht="15" thickBot="1" x14ac:dyDescent="0.4">
      <c r="A45" s="421">
        <v>20199</v>
      </c>
      <c r="B45" s="540" t="s">
        <v>855</v>
      </c>
      <c r="C45" s="541">
        <f>SUM(C35:C37)+SUM(C39:C44)</f>
        <v>0</v>
      </c>
      <c r="D45" s="542">
        <f>SUM(D35:D37)+SUM(D39:D44)</f>
        <v>0</v>
      </c>
      <c r="E45" s="543">
        <f>SUM(E35:E37)+SUM(E39:E44)</f>
        <v>0</v>
      </c>
      <c r="F45" s="544">
        <f>SUM(F35:F37)+SUM(F39:F44)</f>
        <v>0</v>
      </c>
      <c r="G45" s="543">
        <f>SUM(G35:G37)+SUM(G39:G44)</f>
        <v>0</v>
      </c>
      <c r="H45" s="1785">
        <f t="shared" ref="H45:O45" si="7">SUM(H35:H44)</f>
        <v>0</v>
      </c>
      <c r="I45" s="1786">
        <f t="shared" si="7"/>
        <v>0</v>
      </c>
      <c r="J45" s="1786">
        <f t="shared" si="7"/>
        <v>0</v>
      </c>
      <c r="K45" s="1786">
        <f t="shared" si="7"/>
        <v>0</v>
      </c>
      <c r="L45" s="1786">
        <f t="shared" si="7"/>
        <v>0</v>
      </c>
      <c r="M45" s="1786">
        <f t="shared" si="7"/>
        <v>0</v>
      </c>
      <c r="N45" s="1787">
        <f t="shared" si="7"/>
        <v>0</v>
      </c>
      <c r="O45" s="1788">
        <f t="shared" si="7"/>
        <v>0</v>
      </c>
    </row>
    <row r="46" spans="1:15" x14ac:dyDescent="0.35">
      <c r="A46" s="457" t="s">
        <v>856</v>
      </c>
      <c r="B46" s="538"/>
      <c r="C46" s="535">
        <v>0</v>
      </c>
      <c r="D46" s="535">
        <v>0</v>
      </c>
      <c r="E46" s="534"/>
      <c r="F46" s="535">
        <v>0</v>
      </c>
      <c r="G46" s="534"/>
      <c r="H46" s="528"/>
      <c r="I46" s="532"/>
      <c r="J46" s="532"/>
      <c r="K46" s="532"/>
      <c r="L46" s="532"/>
      <c r="M46" s="532"/>
      <c r="N46" s="529"/>
      <c r="O46" s="533"/>
    </row>
    <row r="47" spans="1:15" x14ac:dyDescent="0.35">
      <c r="A47" s="411" t="s">
        <v>153</v>
      </c>
      <c r="B47" s="538" t="s">
        <v>857</v>
      </c>
      <c r="C47" s="535">
        <v>0</v>
      </c>
      <c r="D47" s="535">
        <v>0</v>
      </c>
      <c r="E47" s="534">
        <f>C47+D47</f>
        <v>0</v>
      </c>
      <c r="F47" s="535">
        <v>0</v>
      </c>
      <c r="G47" s="534">
        <f>E47+F47</f>
        <v>0</v>
      </c>
      <c r="H47" s="572"/>
      <c r="I47" s="573"/>
      <c r="J47" s="573"/>
      <c r="K47" s="573"/>
      <c r="L47" s="573"/>
      <c r="M47" s="573"/>
      <c r="N47" s="574"/>
      <c r="O47" s="533">
        <f t="shared" si="6"/>
        <v>0</v>
      </c>
    </row>
    <row r="48" spans="1:15" x14ac:dyDescent="0.35">
      <c r="A48" s="411" t="s">
        <v>155</v>
      </c>
      <c r="B48" s="538" t="s">
        <v>858</v>
      </c>
      <c r="C48" s="535">
        <v>0</v>
      </c>
      <c r="D48" s="535">
        <v>0</v>
      </c>
      <c r="E48" s="534">
        <f>C48+D48</f>
        <v>0</v>
      </c>
      <c r="F48" s="535">
        <v>0</v>
      </c>
      <c r="G48" s="534">
        <f>E48+F48</f>
        <v>0</v>
      </c>
      <c r="H48" s="528"/>
      <c r="I48" s="532"/>
      <c r="J48" s="532"/>
      <c r="K48" s="532"/>
      <c r="L48" s="532"/>
      <c r="M48" s="532"/>
      <c r="N48" s="529"/>
      <c r="O48" s="533">
        <f t="shared" si="6"/>
        <v>0</v>
      </c>
    </row>
    <row r="49" spans="1:15" ht="15" thickBot="1" x14ac:dyDescent="0.4">
      <c r="A49" s="411" t="s">
        <v>157</v>
      </c>
      <c r="B49" s="538" t="s">
        <v>859</v>
      </c>
      <c r="C49" s="535">
        <v>0</v>
      </c>
      <c r="D49" s="535">
        <v>0</v>
      </c>
      <c r="E49" s="534">
        <f>C49+D49</f>
        <v>0</v>
      </c>
      <c r="F49" s="535">
        <v>0</v>
      </c>
      <c r="G49" s="534">
        <f t="shared" si="1"/>
        <v>0</v>
      </c>
      <c r="H49" s="528"/>
      <c r="I49" s="532"/>
      <c r="J49" s="532"/>
      <c r="K49" s="532"/>
      <c r="L49" s="532"/>
      <c r="M49" s="532"/>
      <c r="N49" s="529"/>
      <c r="O49" s="533">
        <f t="shared" si="6"/>
        <v>0</v>
      </c>
    </row>
    <row r="50" spans="1:15" x14ac:dyDescent="0.35">
      <c r="A50" s="553">
        <v>20299</v>
      </c>
      <c r="B50" s="554" t="s">
        <v>860</v>
      </c>
      <c r="C50" s="555">
        <f>SUM(C47:C49)</f>
        <v>0</v>
      </c>
      <c r="D50" s="556">
        <f>SUM(D47:D49)</f>
        <v>0</v>
      </c>
      <c r="E50" s="557">
        <f>SUM(E47:E49)</f>
        <v>0</v>
      </c>
      <c r="F50" s="558">
        <f>SUM(F47:F49)</f>
        <v>0</v>
      </c>
      <c r="G50" s="557">
        <f>E50+F50</f>
        <v>0</v>
      </c>
      <c r="H50" s="587">
        <f t="shared" ref="H50:O50" si="8">SUM(H47:H49)</f>
        <v>0</v>
      </c>
      <c r="I50" s="588">
        <f t="shared" si="8"/>
        <v>0</v>
      </c>
      <c r="J50" s="588">
        <f t="shared" si="8"/>
        <v>0</v>
      </c>
      <c r="K50" s="588">
        <f t="shared" si="8"/>
        <v>0</v>
      </c>
      <c r="L50" s="588">
        <f t="shared" si="8"/>
        <v>0</v>
      </c>
      <c r="M50" s="588">
        <f t="shared" si="8"/>
        <v>0</v>
      </c>
      <c r="N50" s="589">
        <f t="shared" si="8"/>
        <v>0</v>
      </c>
      <c r="O50" s="590">
        <f t="shared" si="8"/>
        <v>0</v>
      </c>
    </row>
    <row r="51" spans="1:15" ht="15" thickBot="1" x14ac:dyDescent="0.4">
      <c r="A51" s="559">
        <v>29999</v>
      </c>
      <c r="B51" s="560" t="s">
        <v>861</v>
      </c>
      <c r="C51" s="561">
        <f>C45+C50</f>
        <v>0</v>
      </c>
      <c r="D51" s="562">
        <f>D45+D50</f>
        <v>0</v>
      </c>
      <c r="E51" s="563">
        <f>E45+E50</f>
        <v>0</v>
      </c>
      <c r="F51" s="564">
        <f>F45+F50</f>
        <v>0</v>
      </c>
      <c r="G51" s="563">
        <f>E51+F51</f>
        <v>0</v>
      </c>
      <c r="H51" s="591">
        <f t="shared" ref="H51:O51" si="9">H45+H50</f>
        <v>0</v>
      </c>
      <c r="I51" s="592">
        <f t="shared" si="9"/>
        <v>0</v>
      </c>
      <c r="J51" s="592">
        <f t="shared" si="9"/>
        <v>0</v>
      </c>
      <c r="K51" s="592">
        <f t="shared" si="9"/>
        <v>0</v>
      </c>
      <c r="L51" s="592">
        <f t="shared" si="9"/>
        <v>0</v>
      </c>
      <c r="M51" s="592">
        <f t="shared" si="9"/>
        <v>0</v>
      </c>
      <c r="N51" s="593">
        <f t="shared" si="9"/>
        <v>0</v>
      </c>
      <c r="O51" s="594">
        <f t="shared" si="9"/>
        <v>0</v>
      </c>
    </row>
    <row r="52" spans="1:15" x14ac:dyDescent="0.35">
      <c r="A52" s="399" t="s">
        <v>862</v>
      </c>
      <c r="B52" s="538"/>
      <c r="C52" s="545"/>
      <c r="D52" s="546"/>
      <c r="E52" s="534"/>
      <c r="F52" s="547"/>
      <c r="G52" s="575"/>
      <c r="H52" s="528"/>
      <c r="I52" s="532"/>
      <c r="J52" s="532"/>
      <c r="K52" s="532"/>
      <c r="L52" s="532"/>
      <c r="M52" s="532"/>
      <c r="N52" s="529"/>
      <c r="O52" s="576"/>
    </row>
    <row r="53" spans="1:15" x14ac:dyDescent="0.35">
      <c r="A53" s="411" t="s">
        <v>162</v>
      </c>
      <c r="B53" s="450" t="s">
        <v>163</v>
      </c>
      <c r="C53" s="535">
        <v>0</v>
      </c>
      <c r="D53" s="535">
        <v>0</v>
      </c>
      <c r="E53" s="534">
        <f>C53+D53</f>
        <v>0</v>
      </c>
      <c r="F53" s="535">
        <v>0</v>
      </c>
      <c r="G53" s="534">
        <f>E53+F53</f>
        <v>0</v>
      </c>
      <c r="H53" s="528"/>
      <c r="I53" s="532"/>
      <c r="J53" s="532"/>
      <c r="K53" s="532"/>
      <c r="L53" s="532"/>
      <c r="M53" s="532"/>
      <c r="N53" s="529"/>
      <c r="O53" s="533">
        <f t="shared" si="6"/>
        <v>0</v>
      </c>
    </row>
    <row r="54" spans="1:15" ht="15" customHeight="1" x14ac:dyDescent="0.35">
      <c r="A54" s="411" t="s">
        <v>164</v>
      </c>
      <c r="B54" s="450" t="s">
        <v>165</v>
      </c>
      <c r="C54" s="535">
        <v>0</v>
      </c>
      <c r="D54" s="535">
        <v>0</v>
      </c>
      <c r="E54" s="534">
        <f>C54+D54</f>
        <v>0</v>
      </c>
      <c r="F54" s="535">
        <v>0</v>
      </c>
      <c r="G54" s="534">
        <f>E54+F54</f>
        <v>0</v>
      </c>
      <c r="H54" s="528"/>
      <c r="I54" s="532"/>
      <c r="J54" s="532"/>
      <c r="K54" s="532"/>
      <c r="L54" s="532"/>
      <c r="M54" s="532"/>
      <c r="N54" s="529"/>
      <c r="O54" s="533">
        <f t="shared" si="6"/>
        <v>0</v>
      </c>
    </row>
    <row r="55" spans="1:15" ht="15" customHeight="1" x14ac:dyDescent="0.35">
      <c r="A55" s="411" t="s">
        <v>166</v>
      </c>
      <c r="B55" s="450" t="s">
        <v>167</v>
      </c>
      <c r="C55" s="535">
        <v>0</v>
      </c>
      <c r="D55" s="535">
        <v>0</v>
      </c>
      <c r="E55" s="534">
        <f t="shared" ref="E55:E61" si="10">C55+D55</f>
        <v>0</v>
      </c>
      <c r="F55" s="535">
        <v>0</v>
      </c>
      <c r="G55" s="534">
        <f t="shared" si="1"/>
        <v>0</v>
      </c>
      <c r="H55" s="528"/>
      <c r="I55" s="532"/>
      <c r="J55" s="532"/>
      <c r="K55" s="532"/>
      <c r="L55" s="532"/>
      <c r="M55" s="532"/>
      <c r="N55" s="529"/>
      <c r="O55" s="533">
        <f t="shared" si="6"/>
        <v>0</v>
      </c>
    </row>
    <row r="56" spans="1:15" ht="15" customHeight="1" x14ac:dyDescent="0.35">
      <c r="A56" s="411" t="s">
        <v>168</v>
      </c>
      <c r="B56" s="450" t="s">
        <v>169</v>
      </c>
      <c r="C56" s="535">
        <v>0</v>
      </c>
      <c r="D56" s="535">
        <v>0</v>
      </c>
      <c r="E56" s="534">
        <f t="shared" si="10"/>
        <v>0</v>
      </c>
      <c r="F56" s="535">
        <v>0</v>
      </c>
      <c r="G56" s="534">
        <f t="shared" si="1"/>
        <v>0</v>
      </c>
      <c r="H56" s="528"/>
      <c r="I56" s="532"/>
      <c r="J56" s="532"/>
      <c r="K56" s="532"/>
      <c r="L56" s="532"/>
      <c r="M56" s="532"/>
      <c r="N56" s="529"/>
      <c r="O56" s="533">
        <f t="shared" si="6"/>
        <v>0</v>
      </c>
    </row>
    <row r="57" spans="1:15" ht="15" customHeight="1" x14ac:dyDescent="0.35">
      <c r="A57" s="411" t="s">
        <v>170</v>
      </c>
      <c r="B57" s="450" t="s">
        <v>171</v>
      </c>
      <c r="C57" s="535">
        <v>0</v>
      </c>
      <c r="D57" s="535">
        <v>0</v>
      </c>
      <c r="E57" s="534">
        <f t="shared" si="10"/>
        <v>0</v>
      </c>
      <c r="F57" s="535">
        <v>0</v>
      </c>
      <c r="G57" s="534">
        <f t="shared" si="1"/>
        <v>0</v>
      </c>
      <c r="H57" s="528"/>
      <c r="I57" s="532"/>
      <c r="J57" s="532"/>
      <c r="K57" s="532"/>
      <c r="L57" s="532"/>
      <c r="M57" s="532"/>
      <c r="N57" s="529"/>
      <c r="O57" s="533">
        <f t="shared" si="6"/>
        <v>0</v>
      </c>
    </row>
    <row r="58" spans="1:15" ht="15" customHeight="1" x14ac:dyDescent="0.35">
      <c r="A58" s="411" t="s">
        <v>172</v>
      </c>
      <c r="B58" s="450" t="s">
        <v>173</v>
      </c>
      <c r="C58" s="535">
        <v>0</v>
      </c>
      <c r="D58" s="535">
        <v>0</v>
      </c>
      <c r="E58" s="534">
        <f t="shared" si="10"/>
        <v>0</v>
      </c>
      <c r="F58" s="535">
        <v>0</v>
      </c>
      <c r="G58" s="534">
        <f t="shared" si="1"/>
        <v>0</v>
      </c>
      <c r="H58" s="528"/>
      <c r="I58" s="532"/>
      <c r="J58" s="532"/>
      <c r="K58" s="532"/>
      <c r="L58" s="532"/>
      <c r="M58" s="532"/>
      <c r="N58" s="529"/>
      <c r="O58" s="533">
        <f t="shared" si="6"/>
        <v>0</v>
      </c>
    </row>
    <row r="59" spans="1:15" ht="15" customHeight="1" x14ac:dyDescent="0.35">
      <c r="A59" s="411" t="s">
        <v>174</v>
      </c>
      <c r="B59" s="538" t="s">
        <v>175</v>
      </c>
      <c r="C59" s="535">
        <v>0</v>
      </c>
      <c r="D59" s="535">
        <v>0</v>
      </c>
      <c r="E59" s="534">
        <f t="shared" si="10"/>
        <v>0</v>
      </c>
      <c r="F59" s="535">
        <v>0</v>
      </c>
      <c r="G59" s="534">
        <f t="shared" si="1"/>
        <v>0</v>
      </c>
      <c r="H59" s="528"/>
      <c r="I59" s="532"/>
      <c r="J59" s="532"/>
      <c r="K59" s="532"/>
      <c r="L59" s="532"/>
      <c r="M59" s="532"/>
      <c r="N59" s="529"/>
      <c r="O59" s="533">
        <f t="shared" si="6"/>
        <v>0</v>
      </c>
    </row>
    <row r="60" spans="1:15" ht="15" customHeight="1" x14ac:dyDescent="0.35">
      <c r="A60" s="411" t="s">
        <v>176</v>
      </c>
      <c r="B60" s="538" t="s">
        <v>177</v>
      </c>
      <c r="C60" s="535">
        <v>0</v>
      </c>
      <c r="D60" s="535">
        <v>0</v>
      </c>
      <c r="E60" s="534">
        <f t="shared" si="10"/>
        <v>0</v>
      </c>
      <c r="F60" s="535">
        <v>0</v>
      </c>
      <c r="G60" s="534">
        <f t="shared" si="1"/>
        <v>0</v>
      </c>
      <c r="H60" s="528"/>
      <c r="I60" s="532"/>
      <c r="J60" s="532"/>
      <c r="K60" s="532"/>
      <c r="L60" s="532"/>
      <c r="M60" s="532"/>
      <c r="N60" s="529"/>
      <c r="O60" s="533">
        <f t="shared" si="6"/>
        <v>0</v>
      </c>
    </row>
    <row r="61" spans="1:15" ht="15" customHeight="1" x14ac:dyDescent="0.35">
      <c r="A61" s="411" t="s">
        <v>178</v>
      </c>
      <c r="B61" s="538" t="s">
        <v>179</v>
      </c>
      <c r="C61" s="535">
        <v>0</v>
      </c>
      <c r="D61" s="535">
        <v>0</v>
      </c>
      <c r="E61" s="534">
        <f t="shared" si="10"/>
        <v>0</v>
      </c>
      <c r="F61" s="535">
        <v>0</v>
      </c>
      <c r="G61" s="534">
        <f t="shared" si="1"/>
        <v>0</v>
      </c>
      <c r="H61" s="572"/>
      <c r="I61" s="573"/>
      <c r="J61" s="573"/>
      <c r="K61" s="573"/>
      <c r="L61" s="573"/>
      <c r="M61" s="573"/>
      <c r="N61" s="574"/>
      <c r="O61" s="533">
        <f t="shared" si="6"/>
        <v>0</v>
      </c>
    </row>
    <row r="62" spans="1:15" ht="15" customHeight="1" x14ac:dyDescent="0.35">
      <c r="A62" s="411" t="s">
        <v>180</v>
      </c>
      <c r="B62" s="450" t="s">
        <v>181</v>
      </c>
      <c r="C62" s="577">
        <f>C59+C60+C61</f>
        <v>0</v>
      </c>
      <c r="D62" s="578">
        <f t="shared" ref="D62:F62" si="11">D59+D60+D61</f>
        <v>0</v>
      </c>
      <c r="E62" s="579">
        <f t="shared" si="11"/>
        <v>0</v>
      </c>
      <c r="F62" s="580">
        <f t="shared" si="11"/>
        <v>0</v>
      </c>
      <c r="G62" s="579">
        <f>G59+G60+G61</f>
        <v>0</v>
      </c>
      <c r="H62" s="581">
        <f>H59+H60+H61</f>
        <v>0</v>
      </c>
      <c r="I62" s="582">
        <f t="shared" ref="I62:O62" si="12">I59+I60+I61</f>
        <v>0</v>
      </c>
      <c r="J62" s="582">
        <f t="shared" si="12"/>
        <v>0</v>
      </c>
      <c r="K62" s="582">
        <f t="shared" si="12"/>
        <v>0</v>
      </c>
      <c r="L62" s="582">
        <f t="shared" si="12"/>
        <v>0</v>
      </c>
      <c r="M62" s="582">
        <f t="shared" si="12"/>
        <v>0</v>
      </c>
      <c r="N62" s="583">
        <f t="shared" si="12"/>
        <v>0</v>
      </c>
      <c r="O62" s="584">
        <f t="shared" si="12"/>
        <v>0</v>
      </c>
    </row>
    <row r="63" spans="1:15" ht="15" customHeight="1" thickBot="1" x14ac:dyDescent="0.4">
      <c r="A63" s="585" t="s">
        <v>182</v>
      </c>
      <c r="B63" s="586" t="s">
        <v>183</v>
      </c>
      <c r="C63" s="535">
        <v>0</v>
      </c>
      <c r="D63" s="535">
        <v>0</v>
      </c>
      <c r="E63" s="534">
        <f>C63+D63</f>
        <v>0</v>
      </c>
      <c r="F63" s="535">
        <v>0</v>
      </c>
      <c r="G63" s="534">
        <f>E63+F63</f>
        <v>0</v>
      </c>
      <c r="H63" s="528"/>
      <c r="I63" s="532"/>
      <c r="J63" s="532"/>
      <c r="K63" s="532"/>
      <c r="L63" s="532"/>
      <c r="M63" s="532"/>
      <c r="N63" s="529"/>
      <c r="O63" s="533">
        <f>SUM(H63:N63)</f>
        <v>0</v>
      </c>
    </row>
    <row r="64" spans="1:15" ht="15" customHeight="1" x14ac:dyDescent="0.35">
      <c r="A64" s="553">
        <v>39991</v>
      </c>
      <c r="B64" s="554" t="s">
        <v>184</v>
      </c>
      <c r="C64" s="555">
        <f t="shared" ref="C64:O64" si="13">SUM(C53:C58)+C62+C63</f>
        <v>0</v>
      </c>
      <c r="D64" s="556">
        <f t="shared" si="13"/>
        <v>0</v>
      </c>
      <c r="E64" s="557">
        <f t="shared" si="13"/>
        <v>0</v>
      </c>
      <c r="F64" s="558">
        <f t="shared" si="13"/>
        <v>0</v>
      </c>
      <c r="G64" s="557">
        <f t="shared" si="13"/>
        <v>0</v>
      </c>
      <c r="H64" s="587">
        <f t="shared" si="13"/>
        <v>0</v>
      </c>
      <c r="I64" s="588">
        <f t="shared" si="13"/>
        <v>0</v>
      </c>
      <c r="J64" s="588">
        <f t="shared" si="13"/>
        <v>0</v>
      </c>
      <c r="K64" s="588">
        <f t="shared" si="13"/>
        <v>0</v>
      </c>
      <c r="L64" s="588">
        <f t="shared" si="13"/>
        <v>0</v>
      </c>
      <c r="M64" s="588">
        <f t="shared" si="13"/>
        <v>0</v>
      </c>
      <c r="N64" s="589">
        <f t="shared" si="13"/>
        <v>0</v>
      </c>
      <c r="O64" s="590">
        <f t="shared" si="13"/>
        <v>0</v>
      </c>
    </row>
    <row r="65" spans="1:15" ht="15" customHeight="1" thickBot="1" x14ac:dyDescent="0.4">
      <c r="A65" s="559">
        <v>39992</v>
      </c>
      <c r="B65" s="560" t="s">
        <v>185</v>
      </c>
      <c r="C65" s="561">
        <f t="shared" ref="C65:O65" si="14">C51+C64</f>
        <v>0</v>
      </c>
      <c r="D65" s="562">
        <f t="shared" si="14"/>
        <v>0</v>
      </c>
      <c r="E65" s="563">
        <f t="shared" si="14"/>
        <v>0</v>
      </c>
      <c r="F65" s="564">
        <f t="shared" si="14"/>
        <v>0</v>
      </c>
      <c r="G65" s="563">
        <f t="shared" si="14"/>
        <v>0</v>
      </c>
      <c r="H65" s="591">
        <f t="shared" si="14"/>
        <v>0</v>
      </c>
      <c r="I65" s="592">
        <f t="shared" si="14"/>
        <v>0</v>
      </c>
      <c r="J65" s="592">
        <f t="shared" si="14"/>
        <v>0</v>
      </c>
      <c r="K65" s="592">
        <f t="shared" si="14"/>
        <v>0</v>
      </c>
      <c r="L65" s="592">
        <f t="shared" si="14"/>
        <v>0</v>
      </c>
      <c r="M65" s="592">
        <f t="shared" si="14"/>
        <v>0</v>
      </c>
      <c r="N65" s="593">
        <f t="shared" si="14"/>
        <v>0</v>
      </c>
      <c r="O65" s="594">
        <f t="shared" si="14"/>
        <v>0</v>
      </c>
    </row>
  </sheetData>
  <mergeCells count="1">
    <mergeCell ref="H3:O3"/>
  </mergeCells>
  <printOptions gridLinesSet="0"/>
  <pageMargins left="0.22" right="0.17" top="0.3" bottom="1" header="0.17" footer="0.5"/>
  <pageSetup scale="41" orientation="portrait" r:id="rId1"/>
  <headerFooter alignWithMargins="0">
    <oddFooter>&amp;L&amp;Z&amp;F&amp;A</oddFooter>
  </headerFooter>
  <ignoredErrors>
    <ignoredError sqref="G62 E62 E39 G39 G32:G33 E30:G30" formula="1"/>
    <ignoredError sqref="C64:F64 C50:F50 C45:F45"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4876-2CF6-4F82-8A98-C795AB4E6F86}">
  <sheetPr syncVertical="1" syncRef="C6" transitionEvaluation="1">
    <pageSetUpPr fitToPage="1"/>
  </sheetPr>
  <dimension ref="A1:S134"/>
  <sheetViews>
    <sheetView showGridLines="0" topLeftCell="B1" zoomScaleNormal="100" zoomScaleSheetLayoutView="75" workbookViewId="0">
      <pane xSplit="1" ySplit="5" topLeftCell="C6" activePane="bottomRight" state="frozen"/>
      <selection pane="topRight" activeCell="C1" sqref="C1"/>
      <selection pane="bottomLeft" activeCell="B6" sqref="B6"/>
      <selection pane="bottomRight" activeCell="H4" sqref="H4"/>
    </sheetView>
  </sheetViews>
  <sheetFormatPr defaultColWidth="12.54296875" defaultRowHeight="14.5" x14ac:dyDescent="0.35"/>
  <cols>
    <col min="1" max="1" width="17.453125" style="410" customWidth="1"/>
    <col min="2" max="2" width="59.54296875" style="410" customWidth="1"/>
    <col min="3" max="11" width="15.54296875" style="516" customWidth="1"/>
    <col min="12" max="19" width="12.54296875" style="516"/>
    <col min="20" max="16384" width="12.54296875" style="410"/>
  </cols>
  <sheetData>
    <row r="1" spans="1:19" s="394" customFormat="1" ht="15" thickBot="1" x14ac:dyDescent="0.4">
      <c r="A1" s="1514" t="s">
        <v>822</v>
      </c>
      <c r="B1" s="1603"/>
      <c r="C1" s="390"/>
      <c r="D1" s="391" t="s">
        <v>863</v>
      </c>
      <c r="E1" s="392"/>
      <c r="F1" s="392"/>
      <c r="G1" s="392"/>
      <c r="H1" s="393"/>
      <c r="I1" s="393"/>
      <c r="J1" s="393"/>
      <c r="K1" s="393"/>
      <c r="L1" s="393"/>
      <c r="M1" s="393"/>
      <c r="N1" s="393"/>
      <c r="O1" s="393"/>
      <c r="P1" s="393"/>
      <c r="Q1" s="393"/>
      <c r="R1" s="393"/>
      <c r="S1" s="393"/>
    </row>
    <row r="2" spans="1:19" s="394" customFormat="1" ht="15" thickBot="1" x14ac:dyDescent="0.4">
      <c r="A2" s="39" t="s">
        <v>45</v>
      </c>
      <c r="B2" s="23" t="str">
        <f>'FS-Balance Sheet 3.04'!B4</f>
        <v>Select Contractor Name</v>
      </c>
      <c r="C2" s="393"/>
      <c r="D2" s="392"/>
      <c r="E2" s="392"/>
      <c r="F2" s="392"/>
      <c r="G2" s="392"/>
      <c r="H2" s="393"/>
      <c r="I2" s="393"/>
      <c r="J2" s="393"/>
      <c r="K2" s="393"/>
      <c r="L2" s="393"/>
      <c r="M2" s="393"/>
      <c r="N2" s="393"/>
      <c r="O2" s="393"/>
      <c r="P2" s="393"/>
      <c r="Q2" s="393"/>
      <c r="R2" s="393"/>
      <c r="S2" s="393"/>
    </row>
    <row r="3" spans="1:19" s="394" customFormat="1" ht="15" thickBot="1" x14ac:dyDescent="0.4">
      <c r="A3" s="39" t="s">
        <v>555</v>
      </c>
      <c r="B3" s="40" t="str">
        <f>'Audit Recon Balance Sheet F-1a'!B3</f>
        <v>mm/dd/yyyy</v>
      </c>
      <c r="C3" s="393"/>
      <c r="D3" s="395"/>
      <c r="E3" s="395"/>
      <c r="F3" s="395"/>
      <c r="G3" s="395"/>
      <c r="H3" s="393"/>
      <c r="I3" s="393"/>
      <c r="J3" s="393"/>
      <c r="K3" s="393"/>
      <c r="L3" s="1709" t="s">
        <v>824</v>
      </c>
      <c r="M3" s="1710"/>
      <c r="N3" s="1710"/>
      <c r="O3" s="1710"/>
      <c r="P3" s="1710"/>
      <c r="Q3" s="1710"/>
      <c r="R3" s="1710"/>
      <c r="S3" s="1711"/>
    </row>
    <row r="4" spans="1:19" s="394" customFormat="1" ht="15" thickBot="1" x14ac:dyDescent="0.4">
      <c r="A4" s="396"/>
      <c r="C4" s="1604" t="s">
        <v>825</v>
      </c>
      <c r="D4" s="2309" t="s">
        <v>864</v>
      </c>
      <c r="E4" s="2310"/>
      <c r="F4" s="2310"/>
      <c r="G4" s="2310"/>
      <c r="H4" s="1967" t="s">
        <v>826</v>
      </c>
      <c r="I4" s="1968" t="s">
        <v>827</v>
      </c>
      <c r="J4" s="1605" t="s">
        <v>826</v>
      </c>
      <c r="K4" s="1971" t="s">
        <v>828</v>
      </c>
      <c r="L4" s="1893"/>
      <c r="M4" s="1894"/>
      <c r="N4" s="1894"/>
      <c r="O4" s="1894"/>
      <c r="P4" s="1894"/>
      <c r="Q4" s="1894"/>
      <c r="R4" s="1895"/>
      <c r="S4" s="1896"/>
    </row>
    <row r="5" spans="1:19" s="394" customFormat="1" ht="15" thickBot="1" x14ac:dyDescent="0.4">
      <c r="A5" s="397"/>
      <c r="B5" s="398"/>
      <c r="C5" s="1606" t="s">
        <v>511</v>
      </c>
      <c r="D5" s="1607" t="s">
        <v>75</v>
      </c>
      <c r="E5" s="1607" t="s">
        <v>76</v>
      </c>
      <c r="F5" s="1607" t="s">
        <v>77</v>
      </c>
      <c r="G5" s="1608" t="s">
        <v>78</v>
      </c>
      <c r="H5" s="1969" t="s">
        <v>829</v>
      </c>
      <c r="I5" s="1970" t="s">
        <v>826</v>
      </c>
      <c r="J5" s="1609" t="s">
        <v>829</v>
      </c>
      <c r="K5" s="1972" t="s">
        <v>826</v>
      </c>
      <c r="L5" s="1897" t="s">
        <v>830</v>
      </c>
      <c r="M5" s="1898" t="s">
        <v>831</v>
      </c>
      <c r="N5" s="1898" t="s">
        <v>832</v>
      </c>
      <c r="O5" s="1898" t="s">
        <v>833</v>
      </c>
      <c r="P5" s="1898" t="s">
        <v>834</v>
      </c>
      <c r="Q5" s="1898" t="s">
        <v>835</v>
      </c>
      <c r="R5" s="1899" t="s">
        <v>836</v>
      </c>
      <c r="S5" s="1900" t="s">
        <v>470</v>
      </c>
    </row>
    <row r="6" spans="1:19" ht="15" thickTop="1" x14ac:dyDescent="0.35">
      <c r="A6" s="399" t="s">
        <v>199</v>
      </c>
      <c r="B6" s="400"/>
      <c r="C6" s="401"/>
      <c r="D6" s="402"/>
      <c r="E6" s="403"/>
      <c r="F6" s="403"/>
      <c r="G6" s="404"/>
      <c r="H6" s="405"/>
      <c r="I6" s="406"/>
      <c r="J6" s="407"/>
      <c r="K6" s="408"/>
      <c r="L6" s="402"/>
      <c r="M6" s="402"/>
      <c r="N6" s="402"/>
      <c r="O6" s="402"/>
      <c r="P6" s="402"/>
      <c r="Q6" s="402"/>
      <c r="R6" s="407"/>
      <c r="S6" s="409"/>
    </row>
    <row r="7" spans="1:19" x14ac:dyDescent="0.35">
      <c r="A7" s="411" t="s">
        <v>200</v>
      </c>
      <c r="B7" s="412" t="s">
        <v>201</v>
      </c>
      <c r="C7" s="413">
        <v>0</v>
      </c>
      <c r="D7" s="414">
        <v>0</v>
      </c>
      <c r="E7" s="415">
        <v>0</v>
      </c>
      <c r="F7" s="415">
        <v>0</v>
      </c>
      <c r="G7" s="415">
        <v>0</v>
      </c>
      <c r="H7" s="416">
        <f>SUM(D7:G7)</f>
        <v>0</v>
      </c>
      <c r="I7" s="417">
        <f t="shared" ref="I7:I10" si="0">C7+H7</f>
        <v>0</v>
      </c>
      <c r="J7" s="418">
        <v>0</v>
      </c>
      <c r="K7" s="419">
        <f>I7+J7</f>
        <v>0</v>
      </c>
      <c r="L7" s="402"/>
      <c r="M7" s="402"/>
      <c r="N7" s="402"/>
      <c r="O7" s="402"/>
      <c r="P7" s="402"/>
      <c r="Q7" s="402"/>
      <c r="R7" s="407"/>
      <c r="S7" s="420">
        <f>SUM(L7:R7)</f>
        <v>0</v>
      </c>
    </row>
    <row r="8" spans="1:19" x14ac:dyDescent="0.35">
      <c r="A8" s="411" t="s">
        <v>202</v>
      </c>
      <c r="B8" s="412" t="s">
        <v>203</v>
      </c>
      <c r="C8" s="413">
        <v>0</v>
      </c>
      <c r="D8" s="414">
        <v>0</v>
      </c>
      <c r="E8" s="415">
        <v>0</v>
      </c>
      <c r="F8" s="415">
        <v>0</v>
      </c>
      <c r="G8" s="415">
        <v>0</v>
      </c>
      <c r="H8" s="416">
        <f t="shared" ref="H8:H13" si="1">SUM(D8:G8)</f>
        <v>0</v>
      </c>
      <c r="I8" s="417">
        <f t="shared" si="0"/>
        <v>0</v>
      </c>
      <c r="J8" s="418">
        <v>0</v>
      </c>
      <c r="K8" s="419">
        <f>I8+J8</f>
        <v>0</v>
      </c>
      <c r="L8" s="402"/>
      <c r="M8" s="402"/>
      <c r="N8" s="402"/>
      <c r="O8" s="402"/>
      <c r="P8" s="402"/>
      <c r="Q8" s="402"/>
      <c r="R8" s="407"/>
      <c r="S8" s="420">
        <f t="shared" ref="S8:S13" si="2">SUM(L8:R8)</f>
        <v>0</v>
      </c>
    </row>
    <row r="9" spans="1:19" x14ac:dyDescent="0.35">
      <c r="A9" s="411" t="s">
        <v>204</v>
      </c>
      <c r="B9" s="412" t="s">
        <v>205</v>
      </c>
      <c r="C9" s="413">
        <v>0</v>
      </c>
      <c r="D9" s="414">
        <v>0</v>
      </c>
      <c r="E9" s="415">
        <v>0</v>
      </c>
      <c r="F9" s="415">
        <v>0</v>
      </c>
      <c r="G9" s="415">
        <v>0</v>
      </c>
      <c r="H9" s="416">
        <f t="shared" si="1"/>
        <v>0</v>
      </c>
      <c r="I9" s="417">
        <f t="shared" si="0"/>
        <v>0</v>
      </c>
      <c r="J9" s="418">
        <v>0</v>
      </c>
      <c r="K9" s="419">
        <f t="shared" ref="K9:K76" si="3">I9+J9</f>
        <v>0</v>
      </c>
      <c r="L9" s="402"/>
      <c r="M9" s="402"/>
      <c r="N9" s="402"/>
      <c r="O9" s="402"/>
      <c r="P9" s="402"/>
      <c r="Q9" s="402"/>
      <c r="R9" s="407"/>
      <c r="S9" s="420">
        <f t="shared" si="2"/>
        <v>0</v>
      </c>
    </row>
    <row r="10" spans="1:19" x14ac:dyDescent="0.35">
      <c r="A10" s="411" t="s">
        <v>206</v>
      </c>
      <c r="B10" s="412" t="s">
        <v>207</v>
      </c>
      <c r="C10" s="413">
        <v>0</v>
      </c>
      <c r="D10" s="414">
        <v>0</v>
      </c>
      <c r="E10" s="415">
        <v>0</v>
      </c>
      <c r="F10" s="415">
        <v>0</v>
      </c>
      <c r="G10" s="415">
        <v>0</v>
      </c>
      <c r="H10" s="416">
        <f t="shared" si="1"/>
        <v>0</v>
      </c>
      <c r="I10" s="417">
        <f t="shared" si="0"/>
        <v>0</v>
      </c>
      <c r="J10" s="418">
        <v>0</v>
      </c>
      <c r="K10" s="419">
        <f t="shared" si="3"/>
        <v>0</v>
      </c>
      <c r="L10" s="402"/>
      <c r="M10" s="402"/>
      <c r="N10" s="402"/>
      <c r="O10" s="402"/>
      <c r="P10" s="402"/>
      <c r="Q10" s="402"/>
      <c r="R10" s="407"/>
      <c r="S10" s="420">
        <f t="shared" si="2"/>
        <v>0</v>
      </c>
    </row>
    <row r="11" spans="1:19" x14ac:dyDescent="0.35">
      <c r="A11" s="411" t="s">
        <v>208</v>
      </c>
      <c r="B11" s="412" t="s">
        <v>209</v>
      </c>
      <c r="C11" s="413">
        <v>0</v>
      </c>
      <c r="D11" s="414">
        <v>0</v>
      </c>
      <c r="E11" s="415">
        <v>0</v>
      </c>
      <c r="F11" s="415">
        <v>0</v>
      </c>
      <c r="G11" s="415">
        <v>0</v>
      </c>
      <c r="H11" s="416">
        <f t="shared" ref="H11:H12" si="4">SUM(D11:G11)</f>
        <v>0</v>
      </c>
      <c r="I11" s="417">
        <f t="shared" ref="I11:I12" si="5">C11+H11</f>
        <v>0</v>
      </c>
      <c r="J11" s="418">
        <v>0</v>
      </c>
      <c r="K11" s="419">
        <f t="shared" ref="K11:K12" si="6">I11+J11</f>
        <v>0</v>
      </c>
      <c r="L11" s="402"/>
      <c r="M11" s="402"/>
      <c r="N11" s="402"/>
      <c r="O11" s="402"/>
      <c r="P11" s="402"/>
      <c r="Q11" s="402"/>
      <c r="R11" s="407"/>
      <c r="S11" s="420">
        <f t="shared" ref="S11:S12" si="7">SUM(L11:R11)</f>
        <v>0</v>
      </c>
    </row>
    <row r="12" spans="1:19" x14ac:dyDescent="0.35">
      <c r="A12" s="411" t="s">
        <v>210</v>
      </c>
      <c r="B12" s="412" t="s">
        <v>211</v>
      </c>
      <c r="C12" s="413">
        <v>0</v>
      </c>
      <c r="D12" s="414">
        <v>0</v>
      </c>
      <c r="E12" s="415">
        <v>0</v>
      </c>
      <c r="F12" s="415">
        <v>0</v>
      </c>
      <c r="G12" s="415">
        <v>0</v>
      </c>
      <c r="H12" s="416">
        <f t="shared" si="4"/>
        <v>0</v>
      </c>
      <c r="I12" s="417">
        <f t="shared" si="5"/>
        <v>0</v>
      </c>
      <c r="J12" s="418">
        <v>0</v>
      </c>
      <c r="K12" s="419">
        <f t="shared" si="6"/>
        <v>0</v>
      </c>
      <c r="L12" s="402"/>
      <c r="M12" s="402"/>
      <c r="N12" s="402"/>
      <c r="O12" s="402"/>
      <c r="P12" s="402"/>
      <c r="Q12" s="402"/>
      <c r="R12" s="407"/>
      <c r="S12" s="420">
        <f t="shared" si="7"/>
        <v>0</v>
      </c>
    </row>
    <row r="13" spans="1:19" ht="15" thickBot="1" x14ac:dyDescent="0.4">
      <c r="A13" s="411" t="s">
        <v>212</v>
      </c>
      <c r="B13" s="412" t="s">
        <v>213</v>
      </c>
      <c r="C13" s="413">
        <v>0</v>
      </c>
      <c r="D13" s="414">
        <v>0</v>
      </c>
      <c r="E13" s="415">
        <v>0</v>
      </c>
      <c r="F13" s="415">
        <v>0</v>
      </c>
      <c r="G13" s="415">
        <v>0</v>
      </c>
      <c r="H13" s="416">
        <f t="shared" si="1"/>
        <v>0</v>
      </c>
      <c r="I13" s="417">
        <f>C13+H13</f>
        <v>0</v>
      </c>
      <c r="J13" s="418">
        <v>0</v>
      </c>
      <c r="K13" s="419">
        <f>I13+J13</f>
        <v>0</v>
      </c>
      <c r="L13" s="402"/>
      <c r="M13" s="402"/>
      <c r="N13" s="402"/>
      <c r="O13" s="402"/>
      <c r="P13" s="402"/>
      <c r="Q13" s="402"/>
      <c r="R13" s="407"/>
      <c r="S13" s="420">
        <f t="shared" si="2"/>
        <v>0</v>
      </c>
    </row>
    <row r="14" spans="1:19" ht="15" thickBot="1" x14ac:dyDescent="0.4">
      <c r="A14" s="421">
        <v>40199</v>
      </c>
      <c r="B14" s="422" t="s">
        <v>214</v>
      </c>
      <c r="C14" s="423">
        <f t="shared" ref="C14:H14" si="8">SUM(C7:C13)</f>
        <v>0</v>
      </c>
      <c r="D14" s="424">
        <f t="shared" si="8"/>
        <v>0</v>
      </c>
      <c r="E14" s="425">
        <f t="shared" si="8"/>
        <v>0</v>
      </c>
      <c r="F14" s="425">
        <f t="shared" si="8"/>
        <v>0</v>
      </c>
      <c r="G14" s="426">
        <f t="shared" si="8"/>
        <v>0</v>
      </c>
      <c r="H14" s="427">
        <f t="shared" si="8"/>
        <v>0</v>
      </c>
      <c r="I14" s="428">
        <f>C14+H14</f>
        <v>0</v>
      </c>
      <c r="J14" s="429">
        <f>SUM(J7:J13)</f>
        <v>0</v>
      </c>
      <c r="K14" s="430">
        <f>I14+J14</f>
        <v>0</v>
      </c>
      <c r="L14" s="431">
        <f>SUM(L7:L13)</f>
        <v>0</v>
      </c>
      <c r="M14" s="431">
        <f t="shared" ref="M14:S14" si="9">SUM(M7:M13)</f>
        <v>0</v>
      </c>
      <c r="N14" s="431">
        <f t="shared" si="9"/>
        <v>0</v>
      </c>
      <c r="O14" s="431">
        <f t="shared" si="9"/>
        <v>0</v>
      </c>
      <c r="P14" s="431">
        <f t="shared" si="9"/>
        <v>0</v>
      </c>
      <c r="Q14" s="431">
        <f t="shared" si="9"/>
        <v>0</v>
      </c>
      <c r="R14" s="432">
        <f t="shared" si="9"/>
        <v>0</v>
      </c>
      <c r="S14" s="433">
        <f t="shared" si="9"/>
        <v>0</v>
      </c>
    </row>
    <row r="15" spans="1:19" x14ac:dyDescent="0.35">
      <c r="A15" s="411" t="s">
        <v>215</v>
      </c>
      <c r="B15" s="412" t="s">
        <v>216</v>
      </c>
      <c r="C15" s="413">
        <v>0</v>
      </c>
      <c r="D15" s="414">
        <v>0</v>
      </c>
      <c r="E15" s="415">
        <v>0</v>
      </c>
      <c r="F15" s="415">
        <v>0</v>
      </c>
      <c r="G15" s="415">
        <v>0</v>
      </c>
      <c r="H15" s="434">
        <f t="shared" ref="H15" si="10">SUM(D15:G15)</f>
        <v>0</v>
      </c>
      <c r="I15" s="435">
        <f>C15+H15</f>
        <v>0</v>
      </c>
      <c r="J15" s="418">
        <v>0</v>
      </c>
      <c r="K15" s="437">
        <f>I15+J15</f>
        <v>0</v>
      </c>
      <c r="L15" s="402"/>
      <c r="M15" s="402"/>
      <c r="N15" s="402"/>
      <c r="O15" s="402"/>
      <c r="P15" s="402"/>
      <c r="Q15" s="402"/>
      <c r="R15" s="407"/>
      <c r="S15" s="420">
        <f>SUM(L15:R15)</f>
        <v>0</v>
      </c>
    </row>
    <row r="16" spans="1:19" x14ac:dyDescent="0.35">
      <c r="A16" s="411" t="s">
        <v>217</v>
      </c>
      <c r="B16" s="438" t="s">
        <v>218</v>
      </c>
      <c r="C16" s="413">
        <v>0</v>
      </c>
      <c r="D16" s="414">
        <v>0</v>
      </c>
      <c r="E16" s="415">
        <v>0</v>
      </c>
      <c r="F16" s="415">
        <v>0</v>
      </c>
      <c r="G16" s="415">
        <v>0</v>
      </c>
      <c r="H16" s="416">
        <f t="shared" ref="H16:H17" si="11">SUM(D16:G16)</f>
        <v>0</v>
      </c>
      <c r="I16" s="417">
        <f>C16+H16</f>
        <v>0</v>
      </c>
      <c r="J16" s="418">
        <v>0</v>
      </c>
      <c r="K16" s="419">
        <f t="shared" si="3"/>
        <v>0</v>
      </c>
      <c r="L16" s="402"/>
      <c r="M16" s="402"/>
      <c r="N16" s="402"/>
      <c r="O16" s="402"/>
      <c r="P16" s="402"/>
      <c r="Q16" s="402"/>
      <c r="R16" s="407"/>
      <c r="S16" s="420">
        <f>SUM(L16:R16)</f>
        <v>0</v>
      </c>
    </row>
    <row r="17" spans="1:19" ht="15" thickBot="1" x14ac:dyDescent="0.4">
      <c r="A17" s="411" t="s">
        <v>219</v>
      </c>
      <c r="B17" s="412" t="s">
        <v>220</v>
      </c>
      <c r="C17" s="413">
        <v>0</v>
      </c>
      <c r="D17" s="414">
        <v>0</v>
      </c>
      <c r="E17" s="415">
        <v>0</v>
      </c>
      <c r="F17" s="415">
        <v>0</v>
      </c>
      <c r="G17" s="415">
        <v>0</v>
      </c>
      <c r="H17" s="416">
        <f t="shared" si="11"/>
        <v>0</v>
      </c>
      <c r="I17" s="417">
        <f>C17+H17</f>
        <v>0</v>
      </c>
      <c r="J17" s="418">
        <v>0</v>
      </c>
      <c r="K17" s="419">
        <f t="shared" si="3"/>
        <v>0</v>
      </c>
      <c r="L17" s="402"/>
      <c r="M17" s="402"/>
      <c r="N17" s="402"/>
      <c r="O17" s="402"/>
      <c r="P17" s="402"/>
      <c r="Q17" s="402"/>
      <c r="R17" s="407"/>
      <c r="S17" s="420">
        <f>SUM(L17:R17)</f>
        <v>0</v>
      </c>
    </row>
    <row r="18" spans="1:19" ht="15" thickBot="1" x14ac:dyDescent="0.4">
      <c r="A18" s="421">
        <v>49999</v>
      </c>
      <c r="B18" s="422" t="s">
        <v>221</v>
      </c>
      <c r="C18" s="423">
        <f t="shared" ref="C18:S18" si="12">C14+C15+C16+C17</f>
        <v>0</v>
      </c>
      <c r="D18" s="424">
        <f t="shared" si="12"/>
        <v>0</v>
      </c>
      <c r="E18" s="425">
        <f t="shared" si="12"/>
        <v>0</v>
      </c>
      <c r="F18" s="425">
        <f t="shared" si="12"/>
        <v>0</v>
      </c>
      <c r="G18" s="426">
        <f t="shared" si="12"/>
        <v>0</v>
      </c>
      <c r="H18" s="427">
        <f t="shared" si="12"/>
        <v>0</v>
      </c>
      <c r="I18" s="428">
        <f t="shared" si="12"/>
        <v>0</v>
      </c>
      <c r="J18" s="429">
        <f t="shared" si="12"/>
        <v>0</v>
      </c>
      <c r="K18" s="430">
        <f t="shared" si="12"/>
        <v>0</v>
      </c>
      <c r="L18" s="431">
        <f>L14+L15+L16+L17</f>
        <v>0</v>
      </c>
      <c r="M18" s="431">
        <f t="shared" si="12"/>
        <v>0</v>
      </c>
      <c r="N18" s="431">
        <f t="shared" si="12"/>
        <v>0</v>
      </c>
      <c r="O18" s="431">
        <f t="shared" si="12"/>
        <v>0</v>
      </c>
      <c r="P18" s="431">
        <f t="shared" si="12"/>
        <v>0</v>
      </c>
      <c r="Q18" s="431">
        <f t="shared" si="12"/>
        <v>0</v>
      </c>
      <c r="R18" s="432">
        <f t="shared" si="12"/>
        <v>0</v>
      </c>
      <c r="S18" s="433">
        <f t="shared" si="12"/>
        <v>0</v>
      </c>
    </row>
    <row r="19" spans="1:19" ht="15" thickBot="1" x14ac:dyDescent="0.4">
      <c r="A19" s="399" t="s">
        <v>222</v>
      </c>
      <c r="B19" s="400"/>
      <c r="C19" s="439"/>
      <c r="D19" s="440"/>
      <c r="E19" s="441"/>
      <c r="F19" s="441"/>
      <c r="G19" s="441"/>
      <c r="H19" s="434"/>
      <c r="I19" s="435"/>
      <c r="J19" s="436"/>
      <c r="K19" s="437"/>
      <c r="L19" s="1897" t="s">
        <v>830</v>
      </c>
      <c r="M19" s="1898" t="s">
        <v>831</v>
      </c>
      <c r="N19" s="1898" t="s">
        <v>832</v>
      </c>
      <c r="O19" s="1898" t="s">
        <v>833</v>
      </c>
      <c r="P19" s="1898" t="s">
        <v>834</v>
      </c>
      <c r="Q19" s="1898" t="s">
        <v>835</v>
      </c>
      <c r="R19" s="1899" t="s">
        <v>836</v>
      </c>
      <c r="S19" s="1900" t="s">
        <v>470</v>
      </c>
    </row>
    <row r="20" spans="1:19" x14ac:dyDescent="0.35">
      <c r="A20" s="444" t="s">
        <v>223</v>
      </c>
      <c r="B20" s="412" t="s">
        <v>224</v>
      </c>
      <c r="C20" s="413">
        <v>0</v>
      </c>
      <c r="D20" s="414">
        <v>0</v>
      </c>
      <c r="E20" s="415">
        <v>0</v>
      </c>
      <c r="F20" s="415">
        <v>0</v>
      </c>
      <c r="G20" s="415">
        <v>0</v>
      </c>
      <c r="H20" s="416">
        <f>SUM(D20:G20)</f>
        <v>0</v>
      </c>
      <c r="I20" s="417">
        <f t="shared" ref="I20:I26" si="13">C20+H20</f>
        <v>0</v>
      </c>
      <c r="J20" s="418">
        <v>0</v>
      </c>
      <c r="K20" s="419">
        <f t="shared" si="3"/>
        <v>0</v>
      </c>
      <c r="L20" s="442"/>
      <c r="M20" s="442"/>
      <c r="N20" s="442"/>
      <c r="O20" s="442"/>
      <c r="P20" s="442"/>
      <c r="Q20" s="442"/>
      <c r="R20" s="443"/>
      <c r="S20" s="420">
        <f t="shared" ref="S20:S25" si="14">SUM(L20:R20)</f>
        <v>0</v>
      </c>
    </row>
    <row r="21" spans="1:19" x14ac:dyDescent="0.35">
      <c r="A21" s="445" t="s">
        <v>225</v>
      </c>
      <c r="B21" s="412" t="s">
        <v>226</v>
      </c>
      <c r="C21" s="413">
        <v>0</v>
      </c>
      <c r="D21" s="414">
        <v>0</v>
      </c>
      <c r="E21" s="415">
        <v>0</v>
      </c>
      <c r="F21" s="415">
        <v>0</v>
      </c>
      <c r="G21" s="415">
        <v>0</v>
      </c>
      <c r="H21" s="416">
        <f t="shared" ref="H21:H25" si="15">SUM(D21:G21)</f>
        <v>0</v>
      </c>
      <c r="I21" s="417">
        <f t="shared" si="13"/>
        <v>0</v>
      </c>
      <c r="J21" s="418">
        <v>0</v>
      </c>
      <c r="K21" s="419">
        <f t="shared" si="3"/>
        <v>0</v>
      </c>
      <c r="L21" s="402"/>
      <c r="M21" s="402"/>
      <c r="N21" s="402"/>
      <c r="O21" s="402"/>
      <c r="P21" s="402"/>
      <c r="Q21" s="402"/>
      <c r="R21" s="407"/>
      <c r="S21" s="420">
        <f t="shared" si="14"/>
        <v>0</v>
      </c>
    </row>
    <row r="22" spans="1:19" x14ac:dyDescent="0.35">
      <c r="A22" s="445" t="s">
        <v>227</v>
      </c>
      <c r="B22" s="412" t="s">
        <v>228</v>
      </c>
      <c r="C22" s="413">
        <v>0</v>
      </c>
      <c r="D22" s="414">
        <v>0</v>
      </c>
      <c r="E22" s="415">
        <v>0</v>
      </c>
      <c r="F22" s="415">
        <v>0</v>
      </c>
      <c r="G22" s="415">
        <v>0</v>
      </c>
      <c r="H22" s="416">
        <f t="shared" si="15"/>
        <v>0</v>
      </c>
      <c r="I22" s="417">
        <f t="shared" si="13"/>
        <v>0</v>
      </c>
      <c r="J22" s="418">
        <v>0</v>
      </c>
      <c r="K22" s="419">
        <f t="shared" si="3"/>
        <v>0</v>
      </c>
      <c r="L22" s="402"/>
      <c r="M22" s="402"/>
      <c r="N22" s="402"/>
      <c r="O22" s="402"/>
      <c r="P22" s="402"/>
      <c r="Q22" s="402"/>
      <c r="R22" s="407"/>
      <c r="S22" s="420">
        <f t="shared" si="14"/>
        <v>0</v>
      </c>
    </row>
    <row r="23" spans="1:19" x14ac:dyDescent="0.35">
      <c r="A23" s="411" t="s">
        <v>229</v>
      </c>
      <c r="B23" s="412" t="s">
        <v>230</v>
      </c>
      <c r="C23" s="413">
        <v>0</v>
      </c>
      <c r="D23" s="414">
        <v>0</v>
      </c>
      <c r="E23" s="415">
        <v>0</v>
      </c>
      <c r="F23" s="415">
        <v>0</v>
      </c>
      <c r="G23" s="415">
        <v>0</v>
      </c>
      <c r="H23" s="416">
        <f t="shared" si="15"/>
        <v>0</v>
      </c>
      <c r="I23" s="417">
        <f t="shared" si="13"/>
        <v>0</v>
      </c>
      <c r="J23" s="418">
        <v>0</v>
      </c>
      <c r="K23" s="419">
        <f t="shared" si="3"/>
        <v>0</v>
      </c>
      <c r="L23" s="402"/>
      <c r="M23" s="402"/>
      <c r="N23" s="402"/>
      <c r="O23" s="402"/>
      <c r="P23" s="402"/>
      <c r="Q23" s="402"/>
      <c r="R23" s="407"/>
      <c r="S23" s="420">
        <f t="shared" si="14"/>
        <v>0</v>
      </c>
    </row>
    <row r="24" spans="1:19" x14ac:dyDescent="0.35">
      <c r="A24" s="411" t="s">
        <v>231</v>
      </c>
      <c r="B24" s="412" t="s">
        <v>232</v>
      </c>
      <c r="C24" s="413">
        <v>0</v>
      </c>
      <c r="D24" s="414">
        <v>0</v>
      </c>
      <c r="E24" s="415">
        <v>0</v>
      </c>
      <c r="F24" s="415">
        <v>0</v>
      </c>
      <c r="G24" s="415">
        <v>0</v>
      </c>
      <c r="H24" s="416">
        <f t="shared" si="15"/>
        <v>0</v>
      </c>
      <c r="I24" s="417">
        <f t="shared" si="13"/>
        <v>0</v>
      </c>
      <c r="J24" s="418">
        <v>0</v>
      </c>
      <c r="K24" s="419">
        <f t="shared" si="3"/>
        <v>0</v>
      </c>
      <c r="L24" s="402"/>
      <c r="M24" s="402"/>
      <c r="N24" s="402"/>
      <c r="O24" s="402"/>
      <c r="P24" s="402"/>
      <c r="Q24" s="402"/>
      <c r="R24" s="407"/>
      <c r="S24" s="420">
        <f t="shared" si="14"/>
        <v>0</v>
      </c>
    </row>
    <row r="25" spans="1:19" ht="15" thickBot="1" x14ac:dyDescent="0.4">
      <c r="A25" s="411" t="s">
        <v>233</v>
      </c>
      <c r="B25" s="412" t="s">
        <v>234</v>
      </c>
      <c r="C25" s="413">
        <v>0</v>
      </c>
      <c r="D25" s="414">
        <v>0</v>
      </c>
      <c r="E25" s="415">
        <v>0</v>
      </c>
      <c r="F25" s="415">
        <v>0</v>
      </c>
      <c r="G25" s="415">
        <v>0</v>
      </c>
      <c r="H25" s="416">
        <f t="shared" si="15"/>
        <v>0</v>
      </c>
      <c r="I25" s="417">
        <f t="shared" si="13"/>
        <v>0</v>
      </c>
      <c r="J25" s="418">
        <v>0</v>
      </c>
      <c r="K25" s="419">
        <f t="shared" si="3"/>
        <v>0</v>
      </c>
      <c r="L25" s="402"/>
      <c r="M25" s="402"/>
      <c r="N25" s="402"/>
      <c r="O25" s="402"/>
      <c r="P25" s="402"/>
      <c r="Q25" s="402"/>
      <c r="R25" s="407"/>
      <c r="S25" s="420">
        <f t="shared" si="14"/>
        <v>0</v>
      </c>
    </row>
    <row r="26" spans="1:19" ht="15" thickBot="1" x14ac:dyDescent="0.4">
      <c r="A26" s="421" t="s">
        <v>235</v>
      </c>
      <c r="B26" s="422" t="s">
        <v>236</v>
      </c>
      <c r="C26" s="423">
        <f t="shared" ref="C26:H26" si="16">SUM(C20:C25)</f>
        <v>0</v>
      </c>
      <c r="D26" s="424">
        <f t="shared" si="16"/>
        <v>0</v>
      </c>
      <c r="E26" s="425">
        <f t="shared" si="16"/>
        <v>0</v>
      </c>
      <c r="F26" s="425">
        <f t="shared" si="16"/>
        <v>0</v>
      </c>
      <c r="G26" s="426">
        <f t="shared" si="16"/>
        <v>0</v>
      </c>
      <c r="H26" s="427">
        <f t="shared" si="16"/>
        <v>0</v>
      </c>
      <c r="I26" s="428">
        <f t="shared" si="13"/>
        <v>0</v>
      </c>
      <c r="J26" s="429">
        <f>SUM(J20:J25)</f>
        <v>0</v>
      </c>
      <c r="K26" s="430">
        <f>I26+J26</f>
        <v>0</v>
      </c>
      <c r="L26" s="431">
        <f>SUM(L20:L25)</f>
        <v>0</v>
      </c>
      <c r="M26" s="431">
        <f t="shared" ref="M26:S26" si="17">SUM(M20:M25)</f>
        <v>0</v>
      </c>
      <c r="N26" s="431">
        <f t="shared" si="17"/>
        <v>0</v>
      </c>
      <c r="O26" s="431">
        <f t="shared" si="17"/>
        <v>0</v>
      </c>
      <c r="P26" s="431">
        <f t="shared" si="17"/>
        <v>0</v>
      </c>
      <c r="Q26" s="431">
        <f t="shared" si="17"/>
        <v>0</v>
      </c>
      <c r="R26" s="432">
        <f t="shared" si="17"/>
        <v>0</v>
      </c>
      <c r="S26" s="433">
        <f t="shared" si="17"/>
        <v>0</v>
      </c>
    </row>
    <row r="27" spans="1:19" x14ac:dyDescent="0.35">
      <c r="A27" s="399" t="s">
        <v>237</v>
      </c>
      <c r="B27" s="400"/>
      <c r="C27" s="439"/>
      <c r="D27" s="440"/>
      <c r="E27" s="441"/>
      <c r="F27" s="441"/>
      <c r="G27" s="441"/>
      <c r="H27" s="434"/>
      <c r="I27" s="435"/>
      <c r="J27" s="436"/>
      <c r="K27" s="437"/>
      <c r="L27" s="402"/>
      <c r="M27" s="402"/>
      <c r="N27" s="402"/>
      <c r="O27" s="402"/>
      <c r="P27" s="402"/>
      <c r="Q27" s="402"/>
      <c r="R27" s="407"/>
      <c r="S27" s="446"/>
    </row>
    <row r="28" spans="1:19" x14ac:dyDescent="0.35">
      <c r="A28" s="411" t="s">
        <v>238</v>
      </c>
      <c r="B28" s="412" t="s">
        <v>239</v>
      </c>
      <c r="C28" s="413">
        <v>0</v>
      </c>
      <c r="D28" s="414">
        <v>0</v>
      </c>
      <c r="E28" s="415">
        <v>0</v>
      </c>
      <c r="F28" s="415">
        <v>0</v>
      </c>
      <c r="G28" s="415">
        <v>0</v>
      </c>
      <c r="H28" s="416">
        <f t="shared" ref="H28:H42" si="18">SUM(D28:G28)</f>
        <v>0</v>
      </c>
      <c r="I28" s="417">
        <f t="shared" ref="I28:I42" si="19">C28+H28</f>
        <v>0</v>
      </c>
      <c r="J28" s="418">
        <v>0</v>
      </c>
      <c r="K28" s="419">
        <f t="shared" si="3"/>
        <v>0</v>
      </c>
      <c r="L28" s="402"/>
      <c r="M28" s="402"/>
      <c r="N28" s="402"/>
      <c r="O28" s="402"/>
      <c r="P28" s="402"/>
      <c r="Q28" s="402"/>
      <c r="R28" s="407"/>
      <c r="S28" s="420">
        <f>SUM(L28:R28)</f>
        <v>0</v>
      </c>
    </row>
    <row r="29" spans="1:19" x14ac:dyDescent="0.35">
      <c r="A29" s="411" t="s">
        <v>240</v>
      </c>
      <c r="B29" s="412" t="s">
        <v>241</v>
      </c>
      <c r="C29" s="413">
        <v>0</v>
      </c>
      <c r="D29" s="414">
        <v>0</v>
      </c>
      <c r="E29" s="415">
        <v>0</v>
      </c>
      <c r="F29" s="415">
        <v>0</v>
      </c>
      <c r="G29" s="415">
        <v>0</v>
      </c>
      <c r="H29" s="416">
        <f t="shared" si="18"/>
        <v>0</v>
      </c>
      <c r="I29" s="417">
        <f t="shared" si="19"/>
        <v>0</v>
      </c>
      <c r="J29" s="418">
        <v>0</v>
      </c>
      <c r="K29" s="419">
        <f t="shared" si="3"/>
        <v>0</v>
      </c>
      <c r="L29" s="402"/>
      <c r="M29" s="402"/>
      <c r="N29" s="402"/>
      <c r="O29" s="402"/>
      <c r="P29" s="402"/>
      <c r="Q29" s="402"/>
      <c r="R29" s="407"/>
      <c r="S29" s="420">
        <f>SUM(L29:R29)</f>
        <v>0</v>
      </c>
    </row>
    <row r="30" spans="1:19" x14ac:dyDescent="0.35">
      <c r="A30" s="411" t="s">
        <v>242</v>
      </c>
      <c r="B30" s="412" t="s">
        <v>243</v>
      </c>
      <c r="C30" s="413">
        <v>0</v>
      </c>
      <c r="D30" s="414">
        <v>0</v>
      </c>
      <c r="E30" s="415">
        <v>0</v>
      </c>
      <c r="F30" s="415">
        <v>0</v>
      </c>
      <c r="G30" s="415">
        <v>0</v>
      </c>
      <c r="H30" s="416">
        <f t="shared" si="18"/>
        <v>0</v>
      </c>
      <c r="I30" s="417">
        <f t="shared" si="19"/>
        <v>0</v>
      </c>
      <c r="J30" s="418">
        <v>0</v>
      </c>
      <c r="K30" s="419">
        <f t="shared" si="3"/>
        <v>0</v>
      </c>
      <c r="L30" s="402"/>
      <c r="M30" s="402"/>
      <c r="N30" s="402"/>
      <c r="O30" s="402"/>
      <c r="P30" s="402"/>
      <c r="Q30" s="402"/>
      <c r="R30" s="407"/>
      <c r="S30" s="420">
        <f t="shared" ref="S30:S42" si="20">SUM(L30:R30)</f>
        <v>0</v>
      </c>
    </row>
    <row r="31" spans="1:19" x14ac:dyDescent="0.35">
      <c r="A31" s="411" t="s">
        <v>244</v>
      </c>
      <c r="B31" s="412" t="s">
        <v>245</v>
      </c>
      <c r="C31" s="413">
        <v>0</v>
      </c>
      <c r="D31" s="414">
        <v>0</v>
      </c>
      <c r="E31" s="415">
        <v>0</v>
      </c>
      <c r="F31" s="415">
        <v>0</v>
      </c>
      <c r="G31" s="415">
        <v>0</v>
      </c>
      <c r="H31" s="416">
        <f t="shared" si="18"/>
        <v>0</v>
      </c>
      <c r="I31" s="417">
        <f t="shared" si="19"/>
        <v>0</v>
      </c>
      <c r="J31" s="418">
        <v>0</v>
      </c>
      <c r="K31" s="419">
        <f t="shared" si="3"/>
        <v>0</v>
      </c>
      <c r="L31" s="402"/>
      <c r="M31" s="402"/>
      <c r="N31" s="402"/>
      <c r="O31" s="402"/>
      <c r="P31" s="402"/>
      <c r="Q31" s="402"/>
      <c r="R31" s="407"/>
      <c r="S31" s="420">
        <f t="shared" si="20"/>
        <v>0</v>
      </c>
    </row>
    <row r="32" spans="1:19" x14ac:dyDescent="0.35">
      <c r="A32" s="411" t="s">
        <v>246</v>
      </c>
      <c r="B32" s="412" t="s">
        <v>247</v>
      </c>
      <c r="C32" s="413">
        <v>0</v>
      </c>
      <c r="D32" s="414">
        <v>0</v>
      </c>
      <c r="E32" s="415">
        <v>0</v>
      </c>
      <c r="F32" s="415">
        <v>0</v>
      </c>
      <c r="G32" s="415">
        <v>0</v>
      </c>
      <c r="H32" s="416">
        <f t="shared" si="18"/>
        <v>0</v>
      </c>
      <c r="I32" s="417">
        <f t="shared" si="19"/>
        <v>0</v>
      </c>
      <c r="J32" s="418">
        <v>0</v>
      </c>
      <c r="K32" s="419">
        <f t="shared" si="3"/>
        <v>0</v>
      </c>
      <c r="L32" s="402"/>
      <c r="M32" s="402"/>
      <c r="N32" s="402"/>
      <c r="O32" s="402"/>
      <c r="P32" s="402"/>
      <c r="Q32" s="402"/>
      <c r="R32" s="407"/>
      <c r="S32" s="420">
        <f t="shared" si="20"/>
        <v>0</v>
      </c>
    </row>
    <row r="33" spans="1:19" x14ac:dyDescent="0.35">
      <c r="A33" s="411" t="s">
        <v>248</v>
      </c>
      <c r="B33" s="412" t="s">
        <v>249</v>
      </c>
      <c r="C33" s="413">
        <v>0</v>
      </c>
      <c r="D33" s="414">
        <v>0</v>
      </c>
      <c r="E33" s="415">
        <v>0</v>
      </c>
      <c r="F33" s="415">
        <v>0</v>
      </c>
      <c r="G33" s="415">
        <v>0</v>
      </c>
      <c r="H33" s="416">
        <f t="shared" si="18"/>
        <v>0</v>
      </c>
      <c r="I33" s="417">
        <f t="shared" si="19"/>
        <v>0</v>
      </c>
      <c r="J33" s="418">
        <v>0</v>
      </c>
      <c r="K33" s="419">
        <f t="shared" si="3"/>
        <v>0</v>
      </c>
      <c r="L33" s="402"/>
      <c r="M33" s="402"/>
      <c r="N33" s="402"/>
      <c r="O33" s="402"/>
      <c r="P33" s="402"/>
      <c r="Q33" s="402"/>
      <c r="R33" s="407"/>
      <c r="S33" s="420">
        <f t="shared" si="20"/>
        <v>0</v>
      </c>
    </row>
    <row r="34" spans="1:19" x14ac:dyDescent="0.35">
      <c r="A34" s="411" t="s">
        <v>250</v>
      </c>
      <c r="B34" s="412" t="s">
        <v>251</v>
      </c>
      <c r="C34" s="413">
        <v>0</v>
      </c>
      <c r="D34" s="414">
        <v>0</v>
      </c>
      <c r="E34" s="415">
        <v>0</v>
      </c>
      <c r="F34" s="415">
        <v>0</v>
      </c>
      <c r="G34" s="415">
        <v>0</v>
      </c>
      <c r="H34" s="416">
        <f t="shared" si="18"/>
        <v>0</v>
      </c>
      <c r="I34" s="417">
        <f t="shared" si="19"/>
        <v>0</v>
      </c>
      <c r="J34" s="418">
        <v>0</v>
      </c>
      <c r="K34" s="419">
        <f t="shared" si="3"/>
        <v>0</v>
      </c>
      <c r="L34" s="402"/>
      <c r="M34" s="402"/>
      <c r="N34" s="402"/>
      <c r="O34" s="402"/>
      <c r="P34" s="402"/>
      <c r="Q34" s="402"/>
      <c r="R34" s="407"/>
      <c r="S34" s="420">
        <f t="shared" si="20"/>
        <v>0</v>
      </c>
    </row>
    <row r="35" spans="1:19" x14ac:dyDescent="0.35">
      <c r="A35" s="411" t="s">
        <v>252</v>
      </c>
      <c r="B35" s="412" t="s">
        <v>253</v>
      </c>
      <c r="C35" s="413">
        <v>0</v>
      </c>
      <c r="D35" s="414">
        <v>0</v>
      </c>
      <c r="E35" s="415">
        <v>0</v>
      </c>
      <c r="F35" s="415">
        <v>0</v>
      </c>
      <c r="G35" s="415">
        <v>0</v>
      </c>
      <c r="H35" s="416">
        <f t="shared" si="18"/>
        <v>0</v>
      </c>
      <c r="I35" s="417">
        <f t="shared" si="19"/>
        <v>0</v>
      </c>
      <c r="J35" s="418">
        <v>0</v>
      </c>
      <c r="K35" s="419">
        <f t="shared" si="3"/>
        <v>0</v>
      </c>
      <c r="L35" s="402"/>
      <c r="M35" s="402"/>
      <c r="N35" s="402"/>
      <c r="O35" s="402"/>
      <c r="P35" s="402"/>
      <c r="Q35" s="402"/>
      <c r="R35" s="407"/>
      <c r="S35" s="420">
        <f t="shared" si="20"/>
        <v>0</v>
      </c>
    </row>
    <row r="36" spans="1:19" x14ac:dyDescent="0.35">
      <c r="A36" s="411" t="s">
        <v>254</v>
      </c>
      <c r="B36" s="412" t="s">
        <v>255</v>
      </c>
      <c r="C36" s="413">
        <v>0</v>
      </c>
      <c r="D36" s="414">
        <v>0</v>
      </c>
      <c r="E36" s="415">
        <v>0</v>
      </c>
      <c r="F36" s="415">
        <v>0</v>
      </c>
      <c r="G36" s="415">
        <v>0</v>
      </c>
      <c r="H36" s="416">
        <f t="shared" si="18"/>
        <v>0</v>
      </c>
      <c r="I36" s="417">
        <f t="shared" si="19"/>
        <v>0</v>
      </c>
      <c r="J36" s="418">
        <v>0</v>
      </c>
      <c r="K36" s="419">
        <f t="shared" si="3"/>
        <v>0</v>
      </c>
      <c r="L36" s="402"/>
      <c r="M36" s="402"/>
      <c r="N36" s="402"/>
      <c r="O36" s="402"/>
      <c r="P36" s="402"/>
      <c r="Q36" s="402"/>
      <c r="R36" s="407"/>
      <c r="S36" s="420">
        <f t="shared" si="20"/>
        <v>0</v>
      </c>
    </row>
    <row r="37" spans="1:19" x14ac:dyDescent="0.35">
      <c r="A37" s="411" t="s">
        <v>256</v>
      </c>
      <c r="B37" s="412" t="s">
        <v>257</v>
      </c>
      <c r="C37" s="413">
        <v>0</v>
      </c>
      <c r="D37" s="414">
        <v>0</v>
      </c>
      <c r="E37" s="415">
        <v>0</v>
      </c>
      <c r="F37" s="415">
        <v>0</v>
      </c>
      <c r="G37" s="415">
        <v>0</v>
      </c>
      <c r="H37" s="416">
        <f t="shared" si="18"/>
        <v>0</v>
      </c>
      <c r="I37" s="417">
        <f t="shared" si="19"/>
        <v>0</v>
      </c>
      <c r="J37" s="418">
        <v>0</v>
      </c>
      <c r="K37" s="419">
        <f t="shared" si="3"/>
        <v>0</v>
      </c>
      <c r="L37" s="402"/>
      <c r="M37" s="402"/>
      <c r="N37" s="402"/>
      <c r="O37" s="402"/>
      <c r="P37" s="402"/>
      <c r="Q37" s="402"/>
      <c r="R37" s="407"/>
      <c r="S37" s="420">
        <f t="shared" si="20"/>
        <v>0</v>
      </c>
    </row>
    <row r="38" spans="1:19" x14ac:dyDescent="0.35">
      <c r="A38" s="411" t="s">
        <v>258</v>
      </c>
      <c r="B38" s="412" t="s">
        <v>259</v>
      </c>
      <c r="C38" s="413">
        <v>0</v>
      </c>
      <c r="D38" s="414">
        <v>0</v>
      </c>
      <c r="E38" s="415">
        <v>0</v>
      </c>
      <c r="F38" s="415">
        <v>0</v>
      </c>
      <c r="G38" s="415">
        <v>0</v>
      </c>
      <c r="H38" s="416">
        <f t="shared" si="18"/>
        <v>0</v>
      </c>
      <c r="I38" s="417">
        <f t="shared" si="19"/>
        <v>0</v>
      </c>
      <c r="J38" s="418">
        <v>0</v>
      </c>
      <c r="K38" s="419">
        <f t="shared" si="3"/>
        <v>0</v>
      </c>
      <c r="L38" s="402"/>
      <c r="M38" s="402"/>
      <c r="N38" s="402"/>
      <c r="O38" s="402"/>
      <c r="P38" s="402"/>
      <c r="Q38" s="402"/>
      <c r="R38" s="407"/>
      <c r="S38" s="420">
        <f t="shared" si="20"/>
        <v>0</v>
      </c>
    </row>
    <row r="39" spans="1:19" x14ac:dyDescent="0.35">
      <c r="A39" s="411" t="s">
        <v>260</v>
      </c>
      <c r="B39" s="412" t="s">
        <v>261</v>
      </c>
      <c r="C39" s="413">
        <v>0</v>
      </c>
      <c r="D39" s="414">
        <v>0</v>
      </c>
      <c r="E39" s="415">
        <v>0</v>
      </c>
      <c r="F39" s="415">
        <v>0</v>
      </c>
      <c r="G39" s="415">
        <v>0</v>
      </c>
      <c r="H39" s="416">
        <f t="shared" si="18"/>
        <v>0</v>
      </c>
      <c r="I39" s="417">
        <f t="shared" si="19"/>
        <v>0</v>
      </c>
      <c r="J39" s="418">
        <v>0</v>
      </c>
      <c r="K39" s="419">
        <f t="shared" si="3"/>
        <v>0</v>
      </c>
      <c r="L39" s="402"/>
      <c r="M39" s="402"/>
      <c r="N39" s="402"/>
      <c r="O39" s="402"/>
      <c r="P39" s="402"/>
      <c r="Q39" s="402"/>
      <c r="R39" s="407"/>
      <c r="S39" s="420">
        <f t="shared" si="20"/>
        <v>0</v>
      </c>
    </row>
    <row r="40" spans="1:19" x14ac:dyDescent="0.35">
      <c r="A40" s="411" t="s">
        <v>262</v>
      </c>
      <c r="B40" s="412" t="s">
        <v>263</v>
      </c>
      <c r="C40" s="413">
        <v>0</v>
      </c>
      <c r="D40" s="414">
        <v>0</v>
      </c>
      <c r="E40" s="415">
        <v>0</v>
      </c>
      <c r="F40" s="415">
        <v>0</v>
      </c>
      <c r="G40" s="415">
        <v>0</v>
      </c>
      <c r="H40" s="416">
        <f t="shared" si="18"/>
        <v>0</v>
      </c>
      <c r="I40" s="417">
        <f t="shared" si="19"/>
        <v>0</v>
      </c>
      <c r="J40" s="418">
        <v>0</v>
      </c>
      <c r="K40" s="419">
        <f t="shared" si="3"/>
        <v>0</v>
      </c>
      <c r="L40" s="402"/>
      <c r="M40" s="402"/>
      <c r="N40" s="402"/>
      <c r="O40" s="402"/>
      <c r="P40" s="402"/>
      <c r="Q40" s="402"/>
      <c r="R40" s="407"/>
      <c r="S40" s="420">
        <f t="shared" si="20"/>
        <v>0</v>
      </c>
    </row>
    <row r="41" spans="1:19" x14ac:dyDescent="0.35">
      <c r="A41" s="411" t="s">
        <v>264</v>
      </c>
      <c r="B41" s="412" t="s">
        <v>265</v>
      </c>
      <c r="C41" s="413">
        <v>0</v>
      </c>
      <c r="D41" s="414">
        <v>0</v>
      </c>
      <c r="E41" s="415">
        <v>0</v>
      </c>
      <c r="F41" s="415">
        <v>0</v>
      </c>
      <c r="G41" s="415">
        <v>0</v>
      </c>
      <c r="H41" s="416">
        <f t="shared" si="18"/>
        <v>0</v>
      </c>
      <c r="I41" s="417">
        <f t="shared" si="19"/>
        <v>0</v>
      </c>
      <c r="J41" s="418">
        <v>0</v>
      </c>
      <c r="K41" s="419">
        <f t="shared" si="3"/>
        <v>0</v>
      </c>
      <c r="L41" s="402"/>
      <c r="M41" s="402"/>
      <c r="N41" s="402"/>
      <c r="O41" s="402"/>
      <c r="P41" s="402"/>
      <c r="Q41" s="402"/>
      <c r="R41" s="407"/>
      <c r="S41" s="420">
        <f t="shared" si="20"/>
        <v>0</v>
      </c>
    </row>
    <row r="42" spans="1:19" ht="15" thickBot="1" x14ac:dyDescent="0.4">
      <c r="A42" s="411" t="s">
        <v>266</v>
      </c>
      <c r="B42" s="412" t="s">
        <v>267</v>
      </c>
      <c r="C42" s="413">
        <v>0</v>
      </c>
      <c r="D42" s="414">
        <v>0</v>
      </c>
      <c r="E42" s="415">
        <v>0</v>
      </c>
      <c r="F42" s="415">
        <v>0</v>
      </c>
      <c r="G42" s="415">
        <v>0</v>
      </c>
      <c r="H42" s="416">
        <f t="shared" si="18"/>
        <v>0</v>
      </c>
      <c r="I42" s="417">
        <f t="shared" si="19"/>
        <v>0</v>
      </c>
      <c r="J42" s="418">
        <v>0</v>
      </c>
      <c r="K42" s="419">
        <f t="shared" si="3"/>
        <v>0</v>
      </c>
      <c r="L42" s="402"/>
      <c r="M42" s="402"/>
      <c r="N42" s="402"/>
      <c r="O42" s="402"/>
      <c r="P42" s="402"/>
      <c r="Q42" s="402"/>
      <c r="R42" s="407"/>
      <c r="S42" s="420">
        <f t="shared" si="20"/>
        <v>0</v>
      </c>
    </row>
    <row r="43" spans="1:19" ht="15" thickBot="1" x14ac:dyDescent="0.4">
      <c r="A43" s="421" t="s">
        <v>268</v>
      </c>
      <c r="B43" s="422" t="s">
        <v>269</v>
      </c>
      <c r="C43" s="423">
        <f t="shared" ref="C43:H43" si="21">SUM(C28:C42)</f>
        <v>0</v>
      </c>
      <c r="D43" s="424">
        <f t="shared" si="21"/>
        <v>0</v>
      </c>
      <c r="E43" s="425">
        <f t="shared" si="21"/>
        <v>0</v>
      </c>
      <c r="F43" s="425">
        <f t="shared" si="21"/>
        <v>0</v>
      </c>
      <c r="G43" s="426">
        <f t="shared" si="21"/>
        <v>0</v>
      </c>
      <c r="H43" s="427">
        <f t="shared" si="21"/>
        <v>0</v>
      </c>
      <c r="I43" s="428">
        <f>C43+H43</f>
        <v>0</v>
      </c>
      <c r="J43" s="429">
        <f>SUM(J28:J42)</f>
        <v>0</v>
      </c>
      <c r="K43" s="430">
        <f>I43+J43</f>
        <v>0</v>
      </c>
      <c r="L43" s="431">
        <f>SUM(L28:L42)</f>
        <v>0</v>
      </c>
      <c r="M43" s="431">
        <f t="shared" ref="M43:S43" si="22">SUM(M28:M42)</f>
        <v>0</v>
      </c>
      <c r="N43" s="431">
        <f t="shared" si="22"/>
        <v>0</v>
      </c>
      <c r="O43" s="431">
        <f t="shared" si="22"/>
        <v>0</v>
      </c>
      <c r="P43" s="431">
        <f t="shared" si="22"/>
        <v>0</v>
      </c>
      <c r="Q43" s="431">
        <f t="shared" si="22"/>
        <v>0</v>
      </c>
      <c r="R43" s="432">
        <f t="shared" si="22"/>
        <v>0</v>
      </c>
      <c r="S43" s="433">
        <f t="shared" si="22"/>
        <v>0</v>
      </c>
    </row>
    <row r="44" spans="1:19" x14ac:dyDescent="0.35">
      <c r="A44" s="399" t="s">
        <v>270</v>
      </c>
      <c r="B44" s="400"/>
      <c r="C44" s="439"/>
      <c r="D44" s="440"/>
      <c r="E44" s="441"/>
      <c r="F44" s="441"/>
      <c r="G44" s="441"/>
      <c r="H44" s="434"/>
      <c r="I44" s="435"/>
      <c r="J44" s="436"/>
      <c r="K44" s="437"/>
      <c r="L44" s="402"/>
      <c r="M44" s="402"/>
      <c r="N44" s="402"/>
      <c r="O44" s="402"/>
      <c r="P44" s="402"/>
      <c r="Q44" s="402"/>
      <c r="R44" s="407"/>
      <c r="S44" s="446"/>
    </row>
    <row r="45" spans="1:19" x14ac:dyDescent="0.35">
      <c r="A45" s="411" t="s">
        <v>271</v>
      </c>
      <c r="B45" s="412" t="s">
        <v>272</v>
      </c>
      <c r="C45" s="413">
        <v>0</v>
      </c>
      <c r="D45" s="414">
        <v>0</v>
      </c>
      <c r="E45" s="415">
        <v>0</v>
      </c>
      <c r="F45" s="415">
        <v>0</v>
      </c>
      <c r="G45" s="415">
        <v>0</v>
      </c>
      <c r="H45" s="416">
        <f t="shared" ref="H45:H59" si="23">SUM(D45:G45)</f>
        <v>0</v>
      </c>
      <c r="I45" s="417">
        <f>C45+H45</f>
        <v>0</v>
      </c>
      <c r="J45" s="418">
        <v>0</v>
      </c>
      <c r="K45" s="419">
        <f>I45+J45</f>
        <v>0</v>
      </c>
      <c r="L45" s="402"/>
      <c r="M45" s="402"/>
      <c r="N45" s="402"/>
      <c r="O45" s="402"/>
      <c r="P45" s="402"/>
      <c r="Q45" s="402"/>
      <c r="R45" s="407"/>
      <c r="S45" s="420">
        <f>SUM(L45:R45)</f>
        <v>0</v>
      </c>
    </row>
    <row r="46" spans="1:19" x14ac:dyDescent="0.35">
      <c r="A46" s="411" t="s">
        <v>273</v>
      </c>
      <c r="B46" s="412" t="s">
        <v>274</v>
      </c>
      <c r="C46" s="413">
        <v>0</v>
      </c>
      <c r="D46" s="414">
        <v>0</v>
      </c>
      <c r="E46" s="415">
        <v>0</v>
      </c>
      <c r="F46" s="415">
        <v>0</v>
      </c>
      <c r="G46" s="415">
        <v>0</v>
      </c>
      <c r="H46" s="416">
        <f t="shared" si="23"/>
        <v>0</v>
      </c>
      <c r="I46" s="417">
        <f>C46+H46</f>
        <v>0</v>
      </c>
      <c r="J46" s="418">
        <v>0</v>
      </c>
      <c r="K46" s="419">
        <f>I46+J46</f>
        <v>0</v>
      </c>
      <c r="L46" s="402"/>
      <c r="M46" s="402"/>
      <c r="N46" s="402"/>
      <c r="O46" s="402"/>
      <c r="P46" s="402"/>
      <c r="Q46" s="402"/>
      <c r="R46" s="407"/>
      <c r="S46" s="420">
        <f>SUM(L46:R46)</f>
        <v>0</v>
      </c>
    </row>
    <row r="47" spans="1:19" x14ac:dyDescent="0.35">
      <c r="A47" s="411" t="s">
        <v>275</v>
      </c>
      <c r="B47" s="412" t="s">
        <v>276</v>
      </c>
      <c r="C47" s="413">
        <v>0</v>
      </c>
      <c r="D47" s="414">
        <v>0</v>
      </c>
      <c r="E47" s="415">
        <v>0</v>
      </c>
      <c r="F47" s="415">
        <v>0</v>
      </c>
      <c r="G47" s="415">
        <v>0</v>
      </c>
      <c r="H47" s="416">
        <f t="shared" si="23"/>
        <v>0</v>
      </c>
      <c r="I47" s="417">
        <f t="shared" ref="I47:I59" si="24">C47+H47</f>
        <v>0</v>
      </c>
      <c r="J47" s="418">
        <v>0</v>
      </c>
      <c r="K47" s="419">
        <f t="shared" si="3"/>
        <v>0</v>
      </c>
      <c r="L47" s="402"/>
      <c r="M47" s="402"/>
      <c r="N47" s="402"/>
      <c r="O47" s="402"/>
      <c r="P47" s="402"/>
      <c r="Q47" s="402"/>
      <c r="R47" s="407"/>
      <c r="S47" s="420">
        <f>SUM(L47:R47)</f>
        <v>0</v>
      </c>
    </row>
    <row r="48" spans="1:19" x14ac:dyDescent="0.35">
      <c r="A48" s="411" t="s">
        <v>277</v>
      </c>
      <c r="B48" s="412" t="s">
        <v>278</v>
      </c>
      <c r="C48" s="413">
        <v>0</v>
      </c>
      <c r="D48" s="414">
        <v>0</v>
      </c>
      <c r="E48" s="415">
        <v>0</v>
      </c>
      <c r="F48" s="415">
        <v>0</v>
      </c>
      <c r="G48" s="415">
        <v>0</v>
      </c>
      <c r="H48" s="416">
        <f t="shared" si="23"/>
        <v>0</v>
      </c>
      <c r="I48" s="417">
        <f>C48+H48</f>
        <v>0</v>
      </c>
      <c r="J48" s="418">
        <v>0</v>
      </c>
      <c r="K48" s="419">
        <f>I48+J48</f>
        <v>0</v>
      </c>
      <c r="L48" s="402"/>
      <c r="M48" s="402"/>
      <c r="N48" s="402"/>
      <c r="O48" s="402"/>
      <c r="P48" s="402"/>
      <c r="Q48" s="402"/>
      <c r="R48" s="407"/>
      <c r="S48" s="420">
        <f>SUM(L48:R48)</f>
        <v>0</v>
      </c>
    </row>
    <row r="49" spans="1:19" x14ac:dyDescent="0.35">
      <c r="A49" s="411" t="s">
        <v>279</v>
      </c>
      <c r="B49" s="412" t="s">
        <v>280</v>
      </c>
      <c r="C49" s="413">
        <v>0</v>
      </c>
      <c r="D49" s="414">
        <v>0</v>
      </c>
      <c r="E49" s="415">
        <v>0</v>
      </c>
      <c r="F49" s="415">
        <v>0</v>
      </c>
      <c r="G49" s="415">
        <v>0</v>
      </c>
      <c r="H49" s="416">
        <f t="shared" si="23"/>
        <v>0</v>
      </c>
      <c r="I49" s="417">
        <f t="shared" si="24"/>
        <v>0</v>
      </c>
      <c r="J49" s="418">
        <v>0</v>
      </c>
      <c r="K49" s="419">
        <f t="shared" si="3"/>
        <v>0</v>
      </c>
      <c r="L49" s="402"/>
      <c r="M49" s="402"/>
      <c r="N49" s="402"/>
      <c r="O49" s="402"/>
      <c r="P49" s="402"/>
      <c r="Q49" s="402"/>
      <c r="R49" s="407"/>
      <c r="S49" s="420">
        <f t="shared" ref="S49:S58" si="25">SUM(L49:R49)</f>
        <v>0</v>
      </c>
    </row>
    <row r="50" spans="1:19" x14ac:dyDescent="0.35">
      <c r="A50" s="411" t="s">
        <v>281</v>
      </c>
      <c r="B50" s="412" t="s">
        <v>282</v>
      </c>
      <c r="C50" s="413">
        <v>0</v>
      </c>
      <c r="D50" s="414">
        <v>0</v>
      </c>
      <c r="E50" s="415">
        <v>0</v>
      </c>
      <c r="F50" s="415">
        <v>0</v>
      </c>
      <c r="G50" s="415">
        <v>0</v>
      </c>
      <c r="H50" s="416">
        <f t="shared" si="23"/>
        <v>0</v>
      </c>
      <c r="I50" s="417">
        <f>C50+H50</f>
        <v>0</v>
      </c>
      <c r="J50" s="418">
        <v>0</v>
      </c>
      <c r="K50" s="419">
        <f>I50+J50</f>
        <v>0</v>
      </c>
      <c r="L50" s="402"/>
      <c r="M50" s="402"/>
      <c r="N50" s="402"/>
      <c r="O50" s="402"/>
      <c r="P50" s="402"/>
      <c r="Q50" s="402"/>
      <c r="R50" s="407"/>
      <c r="S50" s="420">
        <f t="shared" si="25"/>
        <v>0</v>
      </c>
    </row>
    <row r="51" spans="1:19" x14ac:dyDescent="0.35">
      <c r="A51" s="411" t="s">
        <v>283</v>
      </c>
      <c r="B51" s="412" t="s">
        <v>284</v>
      </c>
      <c r="C51" s="413">
        <v>0</v>
      </c>
      <c r="D51" s="414">
        <v>0</v>
      </c>
      <c r="E51" s="415">
        <v>0</v>
      </c>
      <c r="F51" s="415">
        <v>0</v>
      </c>
      <c r="G51" s="415">
        <v>0</v>
      </c>
      <c r="H51" s="416">
        <f t="shared" si="23"/>
        <v>0</v>
      </c>
      <c r="I51" s="417">
        <f t="shared" si="24"/>
        <v>0</v>
      </c>
      <c r="J51" s="418">
        <v>0</v>
      </c>
      <c r="K51" s="419">
        <f t="shared" si="3"/>
        <v>0</v>
      </c>
      <c r="L51" s="402"/>
      <c r="M51" s="402"/>
      <c r="N51" s="402"/>
      <c r="O51" s="402"/>
      <c r="P51" s="402"/>
      <c r="Q51" s="402"/>
      <c r="R51" s="407"/>
      <c r="S51" s="420">
        <f t="shared" si="25"/>
        <v>0</v>
      </c>
    </row>
    <row r="52" spans="1:19" x14ac:dyDescent="0.35">
      <c r="A52" s="411" t="s">
        <v>285</v>
      </c>
      <c r="B52" s="412" t="s">
        <v>286</v>
      </c>
      <c r="C52" s="413">
        <v>0</v>
      </c>
      <c r="D52" s="414">
        <v>0</v>
      </c>
      <c r="E52" s="415">
        <v>0</v>
      </c>
      <c r="F52" s="415">
        <v>0</v>
      </c>
      <c r="G52" s="415">
        <v>0</v>
      </c>
      <c r="H52" s="416">
        <f t="shared" si="23"/>
        <v>0</v>
      </c>
      <c r="I52" s="417">
        <f t="shared" si="24"/>
        <v>0</v>
      </c>
      <c r="J52" s="418">
        <v>0</v>
      </c>
      <c r="K52" s="419">
        <f t="shared" si="3"/>
        <v>0</v>
      </c>
      <c r="L52" s="402"/>
      <c r="M52" s="402"/>
      <c r="N52" s="402"/>
      <c r="O52" s="402"/>
      <c r="P52" s="402"/>
      <c r="Q52" s="402"/>
      <c r="R52" s="407"/>
      <c r="S52" s="420">
        <f t="shared" si="25"/>
        <v>0</v>
      </c>
    </row>
    <row r="53" spans="1:19" x14ac:dyDescent="0.35">
      <c r="A53" s="411" t="s">
        <v>287</v>
      </c>
      <c r="B53" s="412" t="s">
        <v>288</v>
      </c>
      <c r="C53" s="413">
        <v>0</v>
      </c>
      <c r="D53" s="414">
        <v>0</v>
      </c>
      <c r="E53" s="415">
        <v>0</v>
      </c>
      <c r="F53" s="415">
        <v>0</v>
      </c>
      <c r="G53" s="415">
        <v>0</v>
      </c>
      <c r="H53" s="416">
        <f t="shared" si="23"/>
        <v>0</v>
      </c>
      <c r="I53" s="417">
        <f t="shared" si="24"/>
        <v>0</v>
      </c>
      <c r="J53" s="418">
        <v>0</v>
      </c>
      <c r="K53" s="419">
        <f t="shared" si="3"/>
        <v>0</v>
      </c>
      <c r="L53" s="402"/>
      <c r="M53" s="402"/>
      <c r="N53" s="402"/>
      <c r="O53" s="402"/>
      <c r="P53" s="402"/>
      <c r="Q53" s="402"/>
      <c r="R53" s="407"/>
      <c r="S53" s="420">
        <f t="shared" si="25"/>
        <v>0</v>
      </c>
    </row>
    <row r="54" spans="1:19" x14ac:dyDescent="0.35">
      <c r="A54" s="411" t="s">
        <v>289</v>
      </c>
      <c r="B54" s="412" t="s">
        <v>290</v>
      </c>
      <c r="C54" s="413">
        <v>0</v>
      </c>
      <c r="D54" s="414">
        <v>0</v>
      </c>
      <c r="E54" s="415">
        <v>0</v>
      </c>
      <c r="F54" s="415">
        <v>0</v>
      </c>
      <c r="G54" s="415">
        <v>0</v>
      </c>
      <c r="H54" s="416">
        <f t="shared" si="23"/>
        <v>0</v>
      </c>
      <c r="I54" s="417">
        <f t="shared" si="24"/>
        <v>0</v>
      </c>
      <c r="J54" s="418">
        <v>0</v>
      </c>
      <c r="K54" s="419">
        <f t="shared" si="3"/>
        <v>0</v>
      </c>
      <c r="L54" s="402"/>
      <c r="M54" s="402"/>
      <c r="N54" s="402"/>
      <c r="O54" s="402"/>
      <c r="P54" s="402"/>
      <c r="Q54" s="402"/>
      <c r="R54" s="407"/>
      <c r="S54" s="420">
        <f t="shared" si="25"/>
        <v>0</v>
      </c>
    </row>
    <row r="55" spans="1:19" x14ac:dyDescent="0.35">
      <c r="A55" s="411" t="s">
        <v>291</v>
      </c>
      <c r="B55" s="412" t="s">
        <v>292</v>
      </c>
      <c r="C55" s="413">
        <v>0</v>
      </c>
      <c r="D55" s="414">
        <v>0</v>
      </c>
      <c r="E55" s="415">
        <v>0</v>
      </c>
      <c r="F55" s="415">
        <v>0</v>
      </c>
      <c r="G55" s="415">
        <v>0</v>
      </c>
      <c r="H55" s="416">
        <f t="shared" si="23"/>
        <v>0</v>
      </c>
      <c r="I55" s="417">
        <f t="shared" si="24"/>
        <v>0</v>
      </c>
      <c r="J55" s="418">
        <v>0</v>
      </c>
      <c r="K55" s="419">
        <f t="shared" si="3"/>
        <v>0</v>
      </c>
      <c r="L55" s="402"/>
      <c r="M55" s="402"/>
      <c r="N55" s="402"/>
      <c r="O55" s="402"/>
      <c r="P55" s="402"/>
      <c r="Q55" s="402"/>
      <c r="R55" s="407"/>
      <c r="S55" s="420">
        <f t="shared" si="25"/>
        <v>0</v>
      </c>
    </row>
    <row r="56" spans="1:19" x14ac:dyDescent="0.35">
      <c r="A56" s="411" t="s">
        <v>293</v>
      </c>
      <c r="B56" s="412" t="s">
        <v>294</v>
      </c>
      <c r="C56" s="413">
        <v>0</v>
      </c>
      <c r="D56" s="414">
        <v>0</v>
      </c>
      <c r="E56" s="415">
        <v>0</v>
      </c>
      <c r="F56" s="415">
        <v>0</v>
      </c>
      <c r="G56" s="415">
        <v>0</v>
      </c>
      <c r="H56" s="416">
        <f t="shared" si="23"/>
        <v>0</v>
      </c>
      <c r="I56" s="417">
        <f t="shared" si="24"/>
        <v>0</v>
      </c>
      <c r="J56" s="418">
        <v>0</v>
      </c>
      <c r="K56" s="419">
        <f t="shared" si="3"/>
        <v>0</v>
      </c>
      <c r="L56" s="402"/>
      <c r="M56" s="402"/>
      <c r="N56" s="402"/>
      <c r="O56" s="402"/>
      <c r="P56" s="402"/>
      <c r="Q56" s="402"/>
      <c r="R56" s="407"/>
      <c r="S56" s="420">
        <f t="shared" si="25"/>
        <v>0</v>
      </c>
    </row>
    <row r="57" spans="1:19" x14ac:dyDescent="0.35">
      <c r="A57" s="411" t="s">
        <v>295</v>
      </c>
      <c r="B57" s="412" t="s">
        <v>296</v>
      </c>
      <c r="C57" s="413">
        <v>0</v>
      </c>
      <c r="D57" s="414">
        <v>0</v>
      </c>
      <c r="E57" s="415">
        <v>0</v>
      </c>
      <c r="F57" s="415">
        <v>0</v>
      </c>
      <c r="G57" s="415">
        <v>0</v>
      </c>
      <c r="H57" s="416">
        <f t="shared" si="23"/>
        <v>0</v>
      </c>
      <c r="I57" s="417">
        <f t="shared" si="24"/>
        <v>0</v>
      </c>
      <c r="J57" s="418">
        <v>0</v>
      </c>
      <c r="K57" s="419">
        <f t="shared" si="3"/>
        <v>0</v>
      </c>
      <c r="L57" s="402"/>
      <c r="M57" s="402"/>
      <c r="N57" s="402"/>
      <c r="O57" s="402"/>
      <c r="P57" s="402"/>
      <c r="Q57" s="402"/>
      <c r="R57" s="407"/>
      <c r="S57" s="420">
        <f t="shared" si="25"/>
        <v>0</v>
      </c>
    </row>
    <row r="58" spans="1:19" x14ac:dyDescent="0.35">
      <c r="A58" s="411" t="s">
        <v>297</v>
      </c>
      <c r="B58" s="412" t="s">
        <v>298</v>
      </c>
      <c r="C58" s="413">
        <v>0</v>
      </c>
      <c r="D58" s="414">
        <v>0</v>
      </c>
      <c r="E58" s="415">
        <v>0</v>
      </c>
      <c r="F58" s="415">
        <v>0</v>
      </c>
      <c r="G58" s="415">
        <v>0</v>
      </c>
      <c r="H58" s="416">
        <f t="shared" si="23"/>
        <v>0</v>
      </c>
      <c r="I58" s="417">
        <f t="shared" si="24"/>
        <v>0</v>
      </c>
      <c r="J58" s="418">
        <v>0</v>
      </c>
      <c r="K58" s="419">
        <f t="shared" si="3"/>
        <v>0</v>
      </c>
      <c r="L58" s="402"/>
      <c r="M58" s="402"/>
      <c r="N58" s="402"/>
      <c r="O58" s="402"/>
      <c r="P58" s="402"/>
      <c r="Q58" s="402"/>
      <c r="R58" s="407"/>
      <c r="S58" s="420">
        <f t="shared" si="25"/>
        <v>0</v>
      </c>
    </row>
    <row r="59" spans="1:19" ht="15" thickBot="1" x14ac:dyDescent="0.4">
      <c r="A59" s="411" t="s">
        <v>299</v>
      </c>
      <c r="B59" s="412" t="s">
        <v>300</v>
      </c>
      <c r="C59" s="413">
        <v>0</v>
      </c>
      <c r="D59" s="414">
        <v>0</v>
      </c>
      <c r="E59" s="415">
        <v>0</v>
      </c>
      <c r="F59" s="415">
        <v>0</v>
      </c>
      <c r="G59" s="415">
        <v>0</v>
      </c>
      <c r="H59" s="416">
        <f t="shared" si="23"/>
        <v>0</v>
      </c>
      <c r="I59" s="417">
        <f t="shared" si="24"/>
        <v>0</v>
      </c>
      <c r="J59" s="418">
        <v>0</v>
      </c>
      <c r="K59" s="419">
        <f t="shared" si="3"/>
        <v>0</v>
      </c>
      <c r="L59" s="402"/>
      <c r="M59" s="402"/>
      <c r="N59" s="402"/>
      <c r="O59" s="402"/>
      <c r="P59" s="402"/>
      <c r="Q59" s="402"/>
      <c r="R59" s="407"/>
      <c r="S59" s="420">
        <f>SUM(L59:R59)</f>
        <v>0</v>
      </c>
    </row>
    <row r="60" spans="1:19" ht="15" thickBot="1" x14ac:dyDescent="0.4">
      <c r="A60" s="421">
        <v>50389</v>
      </c>
      <c r="B60" s="422" t="s">
        <v>301</v>
      </c>
      <c r="C60" s="423">
        <f t="shared" ref="C60:H60" si="26">SUM(C45:C59)</f>
        <v>0</v>
      </c>
      <c r="D60" s="424">
        <f t="shared" si="26"/>
        <v>0</v>
      </c>
      <c r="E60" s="425">
        <f t="shared" si="26"/>
        <v>0</v>
      </c>
      <c r="F60" s="425">
        <f t="shared" si="26"/>
        <v>0</v>
      </c>
      <c r="G60" s="426">
        <f t="shared" si="26"/>
        <v>0</v>
      </c>
      <c r="H60" s="427">
        <f t="shared" si="26"/>
        <v>0</v>
      </c>
      <c r="I60" s="428">
        <f>C60+H60</f>
        <v>0</v>
      </c>
      <c r="J60" s="429">
        <f>SUM(J45:J59)</f>
        <v>0</v>
      </c>
      <c r="K60" s="430">
        <f t="shared" si="3"/>
        <v>0</v>
      </c>
      <c r="L60" s="431">
        <f>SUM(L45:L59)</f>
        <v>0</v>
      </c>
      <c r="M60" s="431">
        <f t="shared" ref="M60:S60" si="27">SUM(M45:M59)</f>
        <v>0</v>
      </c>
      <c r="N60" s="431">
        <f t="shared" si="27"/>
        <v>0</v>
      </c>
      <c r="O60" s="431">
        <f t="shared" si="27"/>
        <v>0</v>
      </c>
      <c r="P60" s="431">
        <f t="shared" si="27"/>
        <v>0</v>
      </c>
      <c r="Q60" s="431">
        <f t="shared" si="27"/>
        <v>0</v>
      </c>
      <c r="R60" s="432">
        <f t="shared" si="27"/>
        <v>0</v>
      </c>
      <c r="S60" s="433">
        <f t="shared" si="27"/>
        <v>0</v>
      </c>
    </row>
    <row r="61" spans="1:19" x14ac:dyDescent="0.35">
      <c r="A61" s="399" t="s">
        <v>302</v>
      </c>
      <c r="B61" s="400"/>
      <c r="C61" s="439"/>
      <c r="D61" s="440"/>
      <c r="E61" s="441"/>
      <c r="F61" s="441"/>
      <c r="G61" s="441"/>
      <c r="H61" s="434"/>
      <c r="I61" s="435"/>
      <c r="J61" s="447"/>
      <c r="K61" s="437"/>
      <c r="L61" s="448"/>
      <c r="M61" s="448"/>
      <c r="N61" s="448"/>
      <c r="O61" s="448"/>
      <c r="P61" s="448"/>
      <c r="Q61" s="448"/>
      <c r="R61" s="449"/>
      <c r="S61" s="446"/>
    </row>
    <row r="62" spans="1:19" x14ac:dyDescent="0.35">
      <c r="A62" s="411" t="s">
        <v>303</v>
      </c>
      <c r="B62" s="412" t="s">
        <v>304</v>
      </c>
      <c r="C62" s="413">
        <v>0</v>
      </c>
      <c r="D62" s="414">
        <v>0</v>
      </c>
      <c r="E62" s="415">
        <v>0</v>
      </c>
      <c r="F62" s="415">
        <v>0</v>
      </c>
      <c r="G62" s="415">
        <v>0</v>
      </c>
      <c r="H62" s="416">
        <f t="shared" ref="H62:H76" si="28">SUM(D62:G62)</f>
        <v>0</v>
      </c>
      <c r="I62" s="417">
        <f>C62+H62</f>
        <v>0</v>
      </c>
      <c r="J62" s="418">
        <v>0</v>
      </c>
      <c r="K62" s="419">
        <f t="shared" si="3"/>
        <v>0</v>
      </c>
      <c r="L62" s="402"/>
      <c r="M62" s="402"/>
      <c r="N62" s="402"/>
      <c r="O62" s="402"/>
      <c r="P62" s="402"/>
      <c r="Q62" s="402"/>
      <c r="R62" s="407"/>
      <c r="S62" s="420">
        <f>SUM(L62:R62)</f>
        <v>0</v>
      </c>
    </row>
    <row r="63" spans="1:19" x14ac:dyDescent="0.35">
      <c r="A63" s="411" t="s">
        <v>305</v>
      </c>
      <c r="B63" s="412" t="s">
        <v>306</v>
      </c>
      <c r="C63" s="413">
        <v>0</v>
      </c>
      <c r="D63" s="414">
        <v>0</v>
      </c>
      <c r="E63" s="415">
        <v>0</v>
      </c>
      <c r="F63" s="415">
        <v>0</v>
      </c>
      <c r="G63" s="415">
        <v>0</v>
      </c>
      <c r="H63" s="416">
        <f t="shared" ref="H63:H64" si="29">SUM(D63:G63)</f>
        <v>0</v>
      </c>
      <c r="I63" s="417">
        <f t="shared" ref="I63:I64" si="30">C63+H63</f>
        <v>0</v>
      </c>
      <c r="J63" s="418">
        <v>0</v>
      </c>
      <c r="K63" s="419">
        <f t="shared" ref="K63:K64" si="31">I63+J63</f>
        <v>0</v>
      </c>
      <c r="L63" s="402"/>
      <c r="M63" s="402"/>
      <c r="N63" s="402"/>
      <c r="O63" s="402"/>
      <c r="P63" s="402"/>
      <c r="Q63" s="402"/>
      <c r="R63" s="407"/>
      <c r="S63" s="420">
        <f t="shared" ref="S63:S64" si="32">SUM(L63:R63)</f>
        <v>0</v>
      </c>
    </row>
    <row r="64" spans="1:19" x14ac:dyDescent="0.35">
      <c r="A64" s="411" t="s">
        <v>307</v>
      </c>
      <c r="B64" s="412" t="s">
        <v>308</v>
      </c>
      <c r="C64" s="413">
        <v>0</v>
      </c>
      <c r="D64" s="414">
        <v>0</v>
      </c>
      <c r="E64" s="415">
        <v>0</v>
      </c>
      <c r="F64" s="415">
        <v>0</v>
      </c>
      <c r="G64" s="415">
        <v>0</v>
      </c>
      <c r="H64" s="416">
        <f t="shared" si="29"/>
        <v>0</v>
      </c>
      <c r="I64" s="417">
        <f t="shared" si="30"/>
        <v>0</v>
      </c>
      <c r="J64" s="418">
        <v>0</v>
      </c>
      <c r="K64" s="419">
        <f t="shared" si="31"/>
        <v>0</v>
      </c>
      <c r="L64" s="402"/>
      <c r="M64" s="402"/>
      <c r="N64" s="402"/>
      <c r="O64" s="402"/>
      <c r="P64" s="402"/>
      <c r="Q64" s="402"/>
      <c r="R64" s="407"/>
      <c r="S64" s="420">
        <f t="shared" si="32"/>
        <v>0</v>
      </c>
    </row>
    <row r="65" spans="1:19" x14ac:dyDescent="0.35">
      <c r="A65" s="411" t="s">
        <v>309</v>
      </c>
      <c r="B65" s="412" t="s">
        <v>310</v>
      </c>
      <c r="C65" s="413">
        <v>0</v>
      </c>
      <c r="D65" s="414">
        <v>0</v>
      </c>
      <c r="E65" s="415">
        <v>0</v>
      </c>
      <c r="F65" s="415">
        <v>0</v>
      </c>
      <c r="G65" s="415">
        <v>0</v>
      </c>
      <c r="H65" s="416">
        <f t="shared" si="28"/>
        <v>0</v>
      </c>
      <c r="I65" s="417">
        <f t="shared" ref="I65:I76" si="33">C65+H65</f>
        <v>0</v>
      </c>
      <c r="J65" s="418">
        <v>0</v>
      </c>
      <c r="K65" s="419">
        <f t="shared" si="3"/>
        <v>0</v>
      </c>
      <c r="L65" s="402"/>
      <c r="M65" s="402"/>
      <c r="N65" s="402"/>
      <c r="O65" s="402"/>
      <c r="P65" s="402"/>
      <c r="Q65" s="402"/>
      <c r="R65" s="407"/>
      <c r="S65" s="420">
        <f t="shared" ref="S65:S76" si="34">SUM(L65:R65)</f>
        <v>0</v>
      </c>
    </row>
    <row r="66" spans="1:19" x14ac:dyDescent="0.35">
      <c r="A66" s="411" t="s">
        <v>311</v>
      </c>
      <c r="B66" s="412" t="s">
        <v>312</v>
      </c>
      <c r="C66" s="413">
        <v>0</v>
      </c>
      <c r="D66" s="414">
        <v>0</v>
      </c>
      <c r="E66" s="415">
        <v>0</v>
      </c>
      <c r="F66" s="415">
        <v>0</v>
      </c>
      <c r="G66" s="415">
        <v>0</v>
      </c>
      <c r="H66" s="416">
        <f t="shared" si="28"/>
        <v>0</v>
      </c>
      <c r="I66" s="417">
        <f t="shared" si="33"/>
        <v>0</v>
      </c>
      <c r="J66" s="418">
        <v>0</v>
      </c>
      <c r="K66" s="419">
        <f t="shared" si="3"/>
        <v>0</v>
      </c>
      <c r="L66" s="402"/>
      <c r="M66" s="402"/>
      <c r="N66" s="402"/>
      <c r="O66" s="402"/>
      <c r="P66" s="402"/>
      <c r="Q66" s="402"/>
      <c r="R66" s="407"/>
      <c r="S66" s="420">
        <f t="shared" si="34"/>
        <v>0</v>
      </c>
    </row>
    <row r="67" spans="1:19" x14ac:dyDescent="0.35">
      <c r="A67" s="411" t="s">
        <v>313</v>
      </c>
      <c r="B67" s="412" t="s">
        <v>314</v>
      </c>
      <c r="C67" s="413">
        <v>0</v>
      </c>
      <c r="D67" s="414">
        <v>0</v>
      </c>
      <c r="E67" s="415">
        <v>0</v>
      </c>
      <c r="F67" s="415">
        <v>0</v>
      </c>
      <c r="G67" s="415">
        <v>0</v>
      </c>
      <c r="H67" s="416">
        <f t="shared" si="28"/>
        <v>0</v>
      </c>
      <c r="I67" s="417">
        <f t="shared" si="33"/>
        <v>0</v>
      </c>
      <c r="J67" s="418">
        <v>0</v>
      </c>
      <c r="K67" s="419">
        <f t="shared" si="3"/>
        <v>0</v>
      </c>
      <c r="L67" s="402"/>
      <c r="M67" s="402"/>
      <c r="N67" s="402"/>
      <c r="O67" s="402"/>
      <c r="P67" s="402"/>
      <c r="Q67" s="402"/>
      <c r="R67" s="407"/>
      <c r="S67" s="420">
        <f t="shared" si="34"/>
        <v>0</v>
      </c>
    </row>
    <row r="68" spans="1:19" x14ac:dyDescent="0.35">
      <c r="A68" s="411" t="s">
        <v>315</v>
      </c>
      <c r="B68" s="412" t="s">
        <v>316</v>
      </c>
      <c r="C68" s="413">
        <v>0</v>
      </c>
      <c r="D68" s="414">
        <v>0</v>
      </c>
      <c r="E68" s="415">
        <v>0</v>
      </c>
      <c r="F68" s="415">
        <v>0</v>
      </c>
      <c r="G68" s="415">
        <v>0</v>
      </c>
      <c r="H68" s="416">
        <f t="shared" si="28"/>
        <v>0</v>
      </c>
      <c r="I68" s="417">
        <f t="shared" si="33"/>
        <v>0</v>
      </c>
      <c r="J68" s="418">
        <v>0</v>
      </c>
      <c r="K68" s="419">
        <f t="shared" si="3"/>
        <v>0</v>
      </c>
      <c r="L68" s="402"/>
      <c r="M68" s="402"/>
      <c r="N68" s="402"/>
      <c r="O68" s="402"/>
      <c r="P68" s="402"/>
      <c r="Q68" s="402"/>
      <c r="R68" s="407"/>
      <c r="S68" s="420">
        <f t="shared" si="34"/>
        <v>0</v>
      </c>
    </row>
    <row r="69" spans="1:19" x14ac:dyDescent="0.35">
      <c r="A69" s="411" t="s">
        <v>317</v>
      </c>
      <c r="B69" s="412" t="s">
        <v>318</v>
      </c>
      <c r="C69" s="413">
        <v>0</v>
      </c>
      <c r="D69" s="414">
        <v>0</v>
      </c>
      <c r="E69" s="415">
        <v>0</v>
      </c>
      <c r="F69" s="415">
        <v>0</v>
      </c>
      <c r="G69" s="415">
        <v>0</v>
      </c>
      <c r="H69" s="416">
        <f t="shared" si="28"/>
        <v>0</v>
      </c>
      <c r="I69" s="417">
        <f t="shared" si="33"/>
        <v>0</v>
      </c>
      <c r="J69" s="418">
        <v>0</v>
      </c>
      <c r="K69" s="419">
        <f t="shared" si="3"/>
        <v>0</v>
      </c>
      <c r="L69" s="402"/>
      <c r="M69" s="402"/>
      <c r="N69" s="402"/>
      <c r="O69" s="402"/>
      <c r="P69" s="402"/>
      <c r="Q69" s="402"/>
      <c r="R69" s="407"/>
      <c r="S69" s="420">
        <f t="shared" si="34"/>
        <v>0</v>
      </c>
    </row>
    <row r="70" spans="1:19" x14ac:dyDescent="0.35">
      <c r="A70" s="411" t="s">
        <v>319</v>
      </c>
      <c r="B70" s="412" t="s">
        <v>320</v>
      </c>
      <c r="C70" s="413">
        <v>0</v>
      </c>
      <c r="D70" s="414">
        <v>0</v>
      </c>
      <c r="E70" s="415">
        <v>0</v>
      </c>
      <c r="F70" s="415">
        <v>0</v>
      </c>
      <c r="G70" s="415">
        <v>0</v>
      </c>
      <c r="H70" s="416">
        <f t="shared" si="28"/>
        <v>0</v>
      </c>
      <c r="I70" s="417">
        <f t="shared" si="33"/>
        <v>0</v>
      </c>
      <c r="J70" s="418">
        <v>0</v>
      </c>
      <c r="K70" s="419">
        <f t="shared" si="3"/>
        <v>0</v>
      </c>
      <c r="L70" s="402"/>
      <c r="M70" s="402"/>
      <c r="N70" s="402"/>
      <c r="O70" s="402"/>
      <c r="P70" s="402"/>
      <c r="Q70" s="402"/>
      <c r="R70" s="407"/>
      <c r="S70" s="420">
        <f t="shared" si="34"/>
        <v>0</v>
      </c>
    </row>
    <row r="71" spans="1:19" x14ac:dyDescent="0.35">
      <c r="A71" s="411" t="s">
        <v>321</v>
      </c>
      <c r="B71" s="412" t="s">
        <v>322</v>
      </c>
      <c r="C71" s="413">
        <v>0</v>
      </c>
      <c r="D71" s="414">
        <v>0</v>
      </c>
      <c r="E71" s="415">
        <v>0</v>
      </c>
      <c r="F71" s="415">
        <v>0</v>
      </c>
      <c r="G71" s="415">
        <v>0</v>
      </c>
      <c r="H71" s="416">
        <f t="shared" si="28"/>
        <v>0</v>
      </c>
      <c r="I71" s="417">
        <f t="shared" si="33"/>
        <v>0</v>
      </c>
      <c r="J71" s="418">
        <v>0</v>
      </c>
      <c r="K71" s="419">
        <f t="shared" si="3"/>
        <v>0</v>
      </c>
      <c r="L71" s="402"/>
      <c r="M71" s="402"/>
      <c r="N71" s="402"/>
      <c r="O71" s="402"/>
      <c r="P71" s="402"/>
      <c r="Q71" s="402"/>
      <c r="R71" s="407"/>
      <c r="S71" s="420">
        <f t="shared" si="34"/>
        <v>0</v>
      </c>
    </row>
    <row r="72" spans="1:19" x14ac:dyDescent="0.35">
      <c r="A72" s="411" t="s">
        <v>323</v>
      </c>
      <c r="B72" s="412" t="s">
        <v>324</v>
      </c>
      <c r="C72" s="413">
        <v>0</v>
      </c>
      <c r="D72" s="414">
        <v>0</v>
      </c>
      <c r="E72" s="415">
        <v>0</v>
      </c>
      <c r="F72" s="415">
        <v>0</v>
      </c>
      <c r="G72" s="415">
        <v>0</v>
      </c>
      <c r="H72" s="416">
        <f t="shared" si="28"/>
        <v>0</v>
      </c>
      <c r="I72" s="417">
        <f t="shared" si="33"/>
        <v>0</v>
      </c>
      <c r="J72" s="418">
        <v>0</v>
      </c>
      <c r="K72" s="419">
        <f t="shared" si="3"/>
        <v>0</v>
      </c>
      <c r="L72" s="402"/>
      <c r="M72" s="402"/>
      <c r="N72" s="402"/>
      <c r="O72" s="402"/>
      <c r="P72" s="402"/>
      <c r="Q72" s="402"/>
      <c r="R72" s="407"/>
      <c r="S72" s="420">
        <f t="shared" si="34"/>
        <v>0</v>
      </c>
    </row>
    <row r="73" spans="1:19" x14ac:dyDescent="0.35">
      <c r="A73" s="411" t="s">
        <v>325</v>
      </c>
      <c r="B73" s="412" t="s">
        <v>326</v>
      </c>
      <c r="C73" s="413">
        <v>0</v>
      </c>
      <c r="D73" s="414">
        <v>0</v>
      </c>
      <c r="E73" s="415">
        <v>0</v>
      </c>
      <c r="F73" s="415">
        <v>0</v>
      </c>
      <c r="G73" s="415">
        <v>0</v>
      </c>
      <c r="H73" s="416">
        <f t="shared" si="28"/>
        <v>0</v>
      </c>
      <c r="I73" s="417">
        <f t="shared" si="33"/>
        <v>0</v>
      </c>
      <c r="J73" s="418">
        <v>0</v>
      </c>
      <c r="K73" s="419">
        <f t="shared" si="3"/>
        <v>0</v>
      </c>
      <c r="L73" s="402"/>
      <c r="M73" s="402"/>
      <c r="N73" s="402"/>
      <c r="O73" s="402"/>
      <c r="P73" s="402"/>
      <c r="Q73" s="402"/>
      <c r="R73" s="407"/>
      <c r="S73" s="420">
        <f t="shared" si="34"/>
        <v>0</v>
      </c>
    </row>
    <row r="74" spans="1:19" x14ac:dyDescent="0.35">
      <c r="A74" s="411" t="s">
        <v>327</v>
      </c>
      <c r="B74" s="412" t="s">
        <v>328</v>
      </c>
      <c r="C74" s="413">
        <v>0</v>
      </c>
      <c r="D74" s="414">
        <v>0</v>
      </c>
      <c r="E74" s="415">
        <v>0</v>
      </c>
      <c r="F74" s="415">
        <v>0</v>
      </c>
      <c r="G74" s="415">
        <v>0</v>
      </c>
      <c r="H74" s="416">
        <f t="shared" si="28"/>
        <v>0</v>
      </c>
      <c r="I74" s="417">
        <f t="shared" si="33"/>
        <v>0</v>
      </c>
      <c r="J74" s="418">
        <v>0</v>
      </c>
      <c r="K74" s="419">
        <f t="shared" si="3"/>
        <v>0</v>
      </c>
      <c r="L74" s="402"/>
      <c r="M74" s="402"/>
      <c r="N74" s="402"/>
      <c r="O74" s="402"/>
      <c r="P74" s="402"/>
      <c r="Q74" s="402"/>
      <c r="R74" s="407"/>
      <c r="S74" s="420">
        <f t="shared" si="34"/>
        <v>0</v>
      </c>
    </row>
    <row r="75" spans="1:19" x14ac:dyDescent="0.35">
      <c r="A75" s="411" t="s">
        <v>329</v>
      </c>
      <c r="B75" s="412" t="s">
        <v>330</v>
      </c>
      <c r="C75" s="413">
        <v>0</v>
      </c>
      <c r="D75" s="414">
        <v>0</v>
      </c>
      <c r="E75" s="415">
        <v>0</v>
      </c>
      <c r="F75" s="415">
        <v>0</v>
      </c>
      <c r="G75" s="415">
        <v>0</v>
      </c>
      <c r="H75" s="416">
        <f t="shared" si="28"/>
        <v>0</v>
      </c>
      <c r="I75" s="417">
        <f t="shared" si="33"/>
        <v>0</v>
      </c>
      <c r="J75" s="418">
        <v>0</v>
      </c>
      <c r="K75" s="419">
        <f t="shared" si="3"/>
        <v>0</v>
      </c>
      <c r="L75" s="402"/>
      <c r="M75" s="402"/>
      <c r="N75" s="402"/>
      <c r="O75" s="402"/>
      <c r="P75" s="402"/>
      <c r="Q75" s="402"/>
      <c r="R75" s="407"/>
      <c r="S75" s="420">
        <f t="shared" si="34"/>
        <v>0</v>
      </c>
    </row>
    <row r="76" spans="1:19" x14ac:dyDescent="0.35">
      <c r="A76" s="411" t="s">
        <v>331</v>
      </c>
      <c r="B76" s="412" t="s">
        <v>332</v>
      </c>
      <c r="C76" s="413">
        <v>0</v>
      </c>
      <c r="D76" s="414">
        <v>0</v>
      </c>
      <c r="E76" s="415">
        <v>0</v>
      </c>
      <c r="F76" s="415">
        <v>0</v>
      </c>
      <c r="G76" s="415">
        <v>0</v>
      </c>
      <c r="H76" s="416">
        <f t="shared" si="28"/>
        <v>0</v>
      </c>
      <c r="I76" s="417">
        <f t="shared" si="33"/>
        <v>0</v>
      </c>
      <c r="J76" s="418">
        <v>0</v>
      </c>
      <c r="K76" s="419">
        <f t="shared" si="3"/>
        <v>0</v>
      </c>
      <c r="L76" s="402"/>
      <c r="M76" s="402"/>
      <c r="N76" s="402"/>
      <c r="O76" s="402"/>
      <c r="P76" s="402"/>
      <c r="Q76" s="402"/>
      <c r="R76" s="407"/>
      <c r="S76" s="420">
        <f t="shared" si="34"/>
        <v>0</v>
      </c>
    </row>
    <row r="77" spans="1:19" x14ac:dyDescent="0.35">
      <c r="A77" s="411" t="s">
        <v>333</v>
      </c>
      <c r="B77" s="450" t="s">
        <v>334</v>
      </c>
      <c r="C77" s="413">
        <v>0</v>
      </c>
      <c r="D77" s="414">
        <v>0</v>
      </c>
      <c r="E77" s="415">
        <v>0</v>
      </c>
      <c r="F77" s="415">
        <v>0</v>
      </c>
      <c r="G77" s="415">
        <v>0</v>
      </c>
      <c r="H77" s="416">
        <f>SUM(D77:G77)</f>
        <v>0</v>
      </c>
      <c r="I77" s="417">
        <f>C77+H77</f>
        <v>0</v>
      </c>
      <c r="J77" s="418">
        <v>0</v>
      </c>
      <c r="K77" s="419">
        <f t="shared" ref="K77:K84" si="35">I77+J77</f>
        <v>0</v>
      </c>
      <c r="L77" s="402"/>
      <c r="M77" s="402"/>
      <c r="N77" s="402"/>
      <c r="O77" s="402"/>
      <c r="P77" s="402"/>
      <c r="Q77" s="402"/>
      <c r="R77" s="407"/>
      <c r="S77" s="420">
        <f>SUM(L77:R77)</f>
        <v>0</v>
      </c>
    </row>
    <row r="78" spans="1:19" x14ac:dyDescent="0.35">
      <c r="A78" s="411" t="s">
        <v>335</v>
      </c>
      <c r="B78" s="450" t="s">
        <v>336</v>
      </c>
      <c r="C78" s="413">
        <v>0</v>
      </c>
      <c r="D78" s="414">
        <v>0</v>
      </c>
      <c r="E78" s="415">
        <v>0</v>
      </c>
      <c r="F78" s="415">
        <v>0</v>
      </c>
      <c r="G78" s="415">
        <v>0</v>
      </c>
      <c r="H78" s="416">
        <f>SUM(D78:G78)</f>
        <v>0</v>
      </c>
      <c r="I78" s="417">
        <f>C78+H78</f>
        <v>0</v>
      </c>
      <c r="J78" s="418">
        <v>0</v>
      </c>
      <c r="K78" s="419">
        <f t="shared" si="35"/>
        <v>0</v>
      </c>
      <c r="L78" s="402"/>
      <c r="M78" s="402"/>
      <c r="N78" s="402"/>
      <c r="O78" s="402"/>
      <c r="P78" s="402"/>
      <c r="Q78" s="402"/>
      <c r="R78" s="407"/>
      <c r="S78" s="420">
        <f>SUM(L78:R78)</f>
        <v>0</v>
      </c>
    </row>
    <row r="79" spans="1:19" x14ac:dyDescent="0.35">
      <c r="A79" s="411" t="s">
        <v>337</v>
      </c>
      <c r="B79" s="450" t="s">
        <v>338</v>
      </c>
      <c r="C79" s="413">
        <v>0</v>
      </c>
      <c r="D79" s="414">
        <v>0</v>
      </c>
      <c r="E79" s="415">
        <v>0</v>
      </c>
      <c r="F79" s="415">
        <v>0</v>
      </c>
      <c r="G79" s="415">
        <v>0</v>
      </c>
      <c r="H79" s="416">
        <f>SUM(D79:G79)</f>
        <v>0</v>
      </c>
      <c r="I79" s="417">
        <f>C79+H79</f>
        <v>0</v>
      </c>
      <c r="J79" s="418">
        <v>0</v>
      </c>
      <c r="K79" s="419">
        <f t="shared" si="35"/>
        <v>0</v>
      </c>
      <c r="L79" s="402"/>
      <c r="M79" s="402"/>
      <c r="N79" s="402"/>
      <c r="O79" s="402"/>
      <c r="P79" s="402"/>
      <c r="Q79" s="402"/>
      <c r="R79" s="407"/>
      <c r="S79" s="420">
        <f>SUM(L79:R79)</f>
        <v>0</v>
      </c>
    </row>
    <row r="80" spans="1:19" x14ac:dyDescent="0.35">
      <c r="A80" s="451" t="s">
        <v>339</v>
      </c>
      <c r="B80" s="452" t="s">
        <v>340</v>
      </c>
      <c r="C80" s="453">
        <f t="shared" ref="C80:J80" si="36">SUM(C77:C79)</f>
        <v>0</v>
      </c>
      <c r="D80" s="453">
        <f t="shared" si="36"/>
        <v>0</v>
      </c>
      <c r="E80" s="453">
        <f t="shared" si="36"/>
        <v>0</v>
      </c>
      <c r="F80" s="453">
        <f t="shared" si="36"/>
        <v>0</v>
      </c>
      <c r="G80" s="453">
        <f t="shared" si="36"/>
        <v>0</v>
      </c>
      <c r="H80" s="842">
        <f t="shared" si="36"/>
        <v>0</v>
      </c>
      <c r="I80" s="1789">
        <f t="shared" si="36"/>
        <v>0</v>
      </c>
      <c r="J80" s="453">
        <f t="shared" si="36"/>
        <v>0</v>
      </c>
      <c r="K80" s="454">
        <f t="shared" si="35"/>
        <v>0</v>
      </c>
      <c r="L80" s="453">
        <f t="shared" ref="L80:R80" si="37">SUM(L77:L79)</f>
        <v>0</v>
      </c>
      <c r="M80" s="453">
        <f t="shared" si="37"/>
        <v>0</v>
      </c>
      <c r="N80" s="453">
        <f t="shared" si="37"/>
        <v>0</v>
      </c>
      <c r="O80" s="453">
        <f t="shared" si="37"/>
        <v>0</v>
      </c>
      <c r="P80" s="453">
        <f t="shared" si="37"/>
        <v>0</v>
      </c>
      <c r="Q80" s="453">
        <f t="shared" si="37"/>
        <v>0</v>
      </c>
      <c r="R80" s="453">
        <f t="shared" si="37"/>
        <v>0</v>
      </c>
      <c r="S80" s="455">
        <f>SUM(L80:R80)</f>
        <v>0</v>
      </c>
    </row>
    <row r="81" spans="1:19" ht="15" thickBot="1" x14ac:dyDescent="0.4">
      <c r="A81" s="411" t="s">
        <v>341</v>
      </c>
      <c r="B81" s="412" t="s">
        <v>342</v>
      </c>
      <c r="C81" s="413">
        <v>0</v>
      </c>
      <c r="D81" s="414">
        <v>0</v>
      </c>
      <c r="E81" s="415">
        <v>0</v>
      </c>
      <c r="F81" s="415">
        <v>0</v>
      </c>
      <c r="G81" s="415">
        <v>0</v>
      </c>
      <c r="H81" s="416">
        <f>SUM(D81:G81)</f>
        <v>0</v>
      </c>
      <c r="I81" s="417">
        <f>C81+H81</f>
        <v>0</v>
      </c>
      <c r="J81" s="418">
        <v>0</v>
      </c>
      <c r="K81" s="419">
        <f t="shared" si="35"/>
        <v>0</v>
      </c>
      <c r="L81" s="402"/>
      <c r="M81" s="402"/>
      <c r="N81" s="402"/>
      <c r="O81" s="402"/>
      <c r="P81" s="402"/>
      <c r="Q81" s="402"/>
      <c r="R81" s="407"/>
      <c r="S81" s="420">
        <f>SUM(L81:R81)</f>
        <v>0</v>
      </c>
    </row>
    <row r="82" spans="1:19" ht="15" thickBot="1" x14ac:dyDescent="0.4">
      <c r="A82" s="421">
        <v>50399</v>
      </c>
      <c r="B82" s="422" t="s">
        <v>343</v>
      </c>
      <c r="C82" s="423">
        <f t="shared" ref="C82:J82" si="38">SUM(C62:C76)+C80+C81</f>
        <v>0</v>
      </c>
      <c r="D82" s="456">
        <f t="shared" si="38"/>
        <v>0</v>
      </c>
      <c r="E82" s="456">
        <f t="shared" si="38"/>
        <v>0</v>
      </c>
      <c r="F82" s="456">
        <f t="shared" si="38"/>
        <v>0</v>
      </c>
      <c r="G82" s="456">
        <f t="shared" si="38"/>
        <v>0</v>
      </c>
      <c r="H82" s="797">
        <f t="shared" si="38"/>
        <v>0</v>
      </c>
      <c r="I82" s="1790">
        <f t="shared" si="38"/>
        <v>0</v>
      </c>
      <c r="J82" s="456">
        <f t="shared" si="38"/>
        <v>0</v>
      </c>
      <c r="K82" s="430">
        <f t="shared" si="35"/>
        <v>0</v>
      </c>
      <c r="L82" s="456">
        <f t="shared" ref="L82:S82" si="39">SUM(L62:L76)+L80+L81</f>
        <v>0</v>
      </c>
      <c r="M82" s="456">
        <f t="shared" si="39"/>
        <v>0</v>
      </c>
      <c r="N82" s="456">
        <f t="shared" si="39"/>
        <v>0</v>
      </c>
      <c r="O82" s="456">
        <f t="shared" si="39"/>
        <v>0</v>
      </c>
      <c r="P82" s="456">
        <f t="shared" si="39"/>
        <v>0</v>
      </c>
      <c r="Q82" s="456">
        <f t="shared" si="39"/>
        <v>0</v>
      </c>
      <c r="R82" s="456">
        <f t="shared" si="39"/>
        <v>0</v>
      </c>
      <c r="S82" s="456">
        <f t="shared" si="39"/>
        <v>0</v>
      </c>
    </row>
    <row r="83" spans="1:19" ht="15" thickBot="1" x14ac:dyDescent="0.4">
      <c r="A83" s="411" t="s">
        <v>344</v>
      </c>
      <c r="B83" s="412" t="s">
        <v>345</v>
      </c>
      <c r="C83" s="413">
        <v>0</v>
      </c>
      <c r="D83" s="414">
        <v>0</v>
      </c>
      <c r="E83" s="415">
        <v>0</v>
      </c>
      <c r="F83" s="415">
        <v>0</v>
      </c>
      <c r="G83" s="415">
        <v>0</v>
      </c>
      <c r="H83" s="416">
        <f t="shared" ref="H83" si="40">SUM(D83:G83)</f>
        <v>0</v>
      </c>
      <c r="I83" s="417">
        <f>C83+H83</f>
        <v>0</v>
      </c>
      <c r="J83" s="418">
        <v>0</v>
      </c>
      <c r="K83" s="419">
        <f t="shared" si="35"/>
        <v>0</v>
      </c>
      <c r="L83" s="448"/>
      <c r="M83" s="448"/>
      <c r="N83" s="448"/>
      <c r="O83" s="448"/>
      <c r="P83" s="448"/>
      <c r="Q83" s="448"/>
      <c r="R83" s="449"/>
      <c r="S83" s="420">
        <f>SUM(L83:R83)</f>
        <v>0</v>
      </c>
    </row>
    <row r="84" spans="1:19" ht="15" thickBot="1" x14ac:dyDescent="0.4">
      <c r="A84" s="421">
        <v>59999</v>
      </c>
      <c r="B84" s="422" t="s">
        <v>346</v>
      </c>
      <c r="C84" s="423">
        <f t="shared" ref="C84:H84" si="41">C26+C43+C60+C82+C83</f>
        <v>0</v>
      </c>
      <c r="D84" s="424">
        <f t="shared" si="41"/>
        <v>0</v>
      </c>
      <c r="E84" s="425">
        <f t="shared" si="41"/>
        <v>0</v>
      </c>
      <c r="F84" s="425">
        <f t="shared" si="41"/>
        <v>0</v>
      </c>
      <c r="G84" s="426">
        <f t="shared" si="41"/>
        <v>0</v>
      </c>
      <c r="H84" s="427">
        <f t="shared" si="41"/>
        <v>0</v>
      </c>
      <c r="I84" s="428">
        <f>C84+H84</f>
        <v>0</v>
      </c>
      <c r="J84" s="429">
        <f>J26+J43+J60+J82+J83</f>
        <v>0</v>
      </c>
      <c r="K84" s="430">
        <f t="shared" si="35"/>
        <v>0</v>
      </c>
      <c r="L84" s="431">
        <f t="shared" ref="L84:S84" si="42">L26+L43+L60+L82+L83</f>
        <v>0</v>
      </c>
      <c r="M84" s="431">
        <f t="shared" si="42"/>
        <v>0</v>
      </c>
      <c r="N84" s="431">
        <f t="shared" si="42"/>
        <v>0</v>
      </c>
      <c r="O84" s="431">
        <f t="shared" si="42"/>
        <v>0</v>
      </c>
      <c r="P84" s="431">
        <f t="shared" si="42"/>
        <v>0</v>
      </c>
      <c r="Q84" s="431">
        <f t="shared" si="42"/>
        <v>0</v>
      </c>
      <c r="R84" s="432">
        <f t="shared" si="42"/>
        <v>0</v>
      </c>
      <c r="S84" s="433">
        <f t="shared" si="42"/>
        <v>0</v>
      </c>
    </row>
    <row r="85" spans="1:19" x14ac:dyDescent="0.35">
      <c r="A85" s="457" t="s">
        <v>347</v>
      </c>
      <c r="B85" s="400"/>
      <c r="C85" s="439"/>
      <c r="D85" s="440"/>
      <c r="E85" s="441"/>
      <c r="F85" s="441"/>
      <c r="G85" s="441"/>
      <c r="H85" s="434"/>
      <c r="I85" s="435"/>
      <c r="J85" s="447"/>
      <c r="K85" s="437"/>
      <c r="L85" s="448"/>
      <c r="M85" s="448"/>
      <c r="N85" s="448"/>
      <c r="O85" s="448"/>
      <c r="P85" s="448"/>
      <c r="Q85" s="448"/>
      <c r="R85" s="449"/>
      <c r="S85" s="446"/>
    </row>
    <row r="86" spans="1:19" x14ac:dyDescent="0.35">
      <c r="A86" s="411" t="s">
        <v>348</v>
      </c>
      <c r="B86" s="412" t="s">
        <v>349</v>
      </c>
      <c r="C86" s="413">
        <v>0</v>
      </c>
      <c r="D86" s="414">
        <v>0</v>
      </c>
      <c r="E86" s="415">
        <v>0</v>
      </c>
      <c r="F86" s="415">
        <v>0</v>
      </c>
      <c r="G86" s="415">
        <v>0</v>
      </c>
      <c r="H86" s="416">
        <f t="shared" ref="H86:H90" si="43">SUM(D86:G86)</f>
        <v>0</v>
      </c>
      <c r="I86" s="417">
        <f t="shared" ref="I86:I91" si="44">C86+H86</f>
        <v>0</v>
      </c>
      <c r="J86" s="418">
        <v>0</v>
      </c>
      <c r="K86" s="419">
        <f>I86+J86</f>
        <v>0</v>
      </c>
      <c r="L86" s="402"/>
      <c r="M86" s="402"/>
      <c r="N86" s="402"/>
      <c r="O86" s="402"/>
      <c r="P86" s="402"/>
      <c r="Q86" s="402"/>
      <c r="R86" s="407"/>
      <c r="S86" s="420">
        <f>SUM(L86:R86)</f>
        <v>0</v>
      </c>
    </row>
    <row r="87" spans="1:19" ht="12.75" customHeight="1" x14ac:dyDescent="0.35">
      <c r="A87" s="411" t="s">
        <v>350</v>
      </c>
      <c r="B87" s="412" t="s">
        <v>351</v>
      </c>
      <c r="C87" s="413">
        <v>0</v>
      </c>
      <c r="D87" s="414">
        <v>0</v>
      </c>
      <c r="E87" s="415">
        <v>0</v>
      </c>
      <c r="F87" s="415">
        <v>0</v>
      </c>
      <c r="G87" s="415">
        <v>0</v>
      </c>
      <c r="H87" s="416">
        <f t="shared" si="43"/>
        <v>0</v>
      </c>
      <c r="I87" s="417">
        <f t="shared" si="44"/>
        <v>0</v>
      </c>
      <c r="J87" s="418">
        <v>0</v>
      </c>
      <c r="K87" s="419">
        <f>I87+J87</f>
        <v>0</v>
      </c>
      <c r="L87" s="402"/>
      <c r="M87" s="402"/>
      <c r="N87" s="402"/>
      <c r="O87" s="402"/>
      <c r="P87" s="402"/>
      <c r="Q87" s="402"/>
      <c r="R87" s="407"/>
      <c r="S87" s="420">
        <f>SUM(L87:R87)</f>
        <v>0</v>
      </c>
    </row>
    <row r="88" spans="1:19" ht="12.75" customHeight="1" x14ac:dyDescent="0.35">
      <c r="A88" s="411" t="s">
        <v>352</v>
      </c>
      <c r="B88" s="412" t="s">
        <v>353</v>
      </c>
      <c r="C88" s="413">
        <v>0</v>
      </c>
      <c r="D88" s="414">
        <v>0</v>
      </c>
      <c r="E88" s="415">
        <v>0</v>
      </c>
      <c r="F88" s="415">
        <v>0</v>
      </c>
      <c r="G88" s="415">
        <v>0</v>
      </c>
      <c r="H88" s="416">
        <f t="shared" si="43"/>
        <v>0</v>
      </c>
      <c r="I88" s="417">
        <f t="shared" si="44"/>
        <v>0</v>
      </c>
      <c r="J88" s="418">
        <v>0</v>
      </c>
      <c r="K88" s="419">
        <f>I88+J88</f>
        <v>0</v>
      </c>
      <c r="L88" s="402"/>
      <c r="M88" s="402"/>
      <c r="N88" s="402"/>
      <c r="O88" s="402"/>
      <c r="P88" s="402"/>
      <c r="Q88" s="402"/>
      <c r="R88" s="407"/>
      <c r="S88" s="420">
        <f>SUM(L88:R88)</f>
        <v>0</v>
      </c>
    </row>
    <row r="89" spans="1:19" ht="12.75" customHeight="1" x14ac:dyDescent="0.35">
      <c r="A89" s="411" t="s">
        <v>354</v>
      </c>
      <c r="B89" s="412" t="s">
        <v>355</v>
      </c>
      <c r="C89" s="413">
        <v>0</v>
      </c>
      <c r="D89" s="414">
        <v>0</v>
      </c>
      <c r="E89" s="415">
        <v>0</v>
      </c>
      <c r="F89" s="415">
        <v>0</v>
      </c>
      <c r="G89" s="415">
        <v>0</v>
      </c>
      <c r="H89" s="416">
        <f t="shared" si="43"/>
        <v>0</v>
      </c>
      <c r="I89" s="417">
        <f t="shared" si="44"/>
        <v>0</v>
      </c>
      <c r="J89" s="418">
        <v>0</v>
      </c>
      <c r="K89" s="419">
        <f>I89+J89</f>
        <v>0</v>
      </c>
      <c r="L89" s="402"/>
      <c r="M89" s="402"/>
      <c r="N89" s="402"/>
      <c r="O89" s="402"/>
      <c r="P89" s="402"/>
      <c r="Q89" s="402"/>
      <c r="R89" s="407"/>
      <c r="S89" s="420">
        <f>SUM(L89:R89)</f>
        <v>0</v>
      </c>
    </row>
    <row r="90" spans="1:19" ht="15" thickBot="1" x14ac:dyDescent="0.4">
      <c r="A90" s="411" t="s">
        <v>356</v>
      </c>
      <c r="B90" s="412" t="s">
        <v>357</v>
      </c>
      <c r="C90" s="413">
        <v>0</v>
      </c>
      <c r="D90" s="414">
        <v>0</v>
      </c>
      <c r="E90" s="415">
        <v>0</v>
      </c>
      <c r="F90" s="415">
        <v>0</v>
      </c>
      <c r="G90" s="415">
        <v>0</v>
      </c>
      <c r="H90" s="416">
        <f t="shared" si="43"/>
        <v>0</v>
      </c>
      <c r="I90" s="417">
        <f t="shared" si="44"/>
        <v>0</v>
      </c>
      <c r="J90" s="418">
        <v>0</v>
      </c>
      <c r="K90" s="419">
        <f t="shared" ref="K90:K125" si="45">I90+J90</f>
        <v>0</v>
      </c>
      <c r="L90" s="402"/>
      <c r="M90" s="402"/>
      <c r="N90" s="402"/>
      <c r="O90" s="402"/>
      <c r="P90" s="402"/>
      <c r="Q90" s="402"/>
      <c r="R90" s="407"/>
      <c r="S90" s="420">
        <f>SUM(L90:R90)</f>
        <v>0</v>
      </c>
    </row>
    <row r="91" spans="1:19" ht="15" thickBot="1" x14ac:dyDescent="0.4">
      <c r="A91" s="421">
        <v>85999</v>
      </c>
      <c r="B91" s="422" t="s">
        <v>358</v>
      </c>
      <c r="C91" s="423">
        <f t="shared" ref="C91:H91" si="46">C84+SUM(C86:C90)</f>
        <v>0</v>
      </c>
      <c r="D91" s="424">
        <f t="shared" si="46"/>
        <v>0</v>
      </c>
      <c r="E91" s="425">
        <f t="shared" si="46"/>
        <v>0</v>
      </c>
      <c r="F91" s="425">
        <f t="shared" si="46"/>
        <v>0</v>
      </c>
      <c r="G91" s="426">
        <f t="shared" si="46"/>
        <v>0</v>
      </c>
      <c r="H91" s="427">
        <f t="shared" si="46"/>
        <v>0</v>
      </c>
      <c r="I91" s="428">
        <f t="shared" si="44"/>
        <v>0</v>
      </c>
      <c r="J91" s="429">
        <f>J84+SUM(J86:J90)</f>
        <v>0</v>
      </c>
      <c r="K91" s="430">
        <f>I91+J91</f>
        <v>0</v>
      </c>
      <c r="L91" s="431">
        <f>L84+SUM(L86:L90)</f>
        <v>0</v>
      </c>
      <c r="M91" s="431">
        <f t="shared" ref="M91:S91" si="47">M84+SUM(M86:M90)</f>
        <v>0</v>
      </c>
      <c r="N91" s="431">
        <f t="shared" si="47"/>
        <v>0</v>
      </c>
      <c r="O91" s="431">
        <f t="shared" si="47"/>
        <v>0</v>
      </c>
      <c r="P91" s="431">
        <f t="shared" si="47"/>
        <v>0</v>
      </c>
      <c r="Q91" s="431">
        <f t="shared" si="47"/>
        <v>0</v>
      </c>
      <c r="R91" s="432">
        <f t="shared" si="47"/>
        <v>0</v>
      </c>
      <c r="S91" s="433">
        <f t="shared" si="47"/>
        <v>0</v>
      </c>
    </row>
    <row r="92" spans="1:19" x14ac:dyDescent="0.35">
      <c r="A92" s="399" t="s">
        <v>359</v>
      </c>
      <c r="B92" s="400"/>
      <c r="C92" s="439"/>
      <c r="D92" s="440"/>
      <c r="E92" s="441"/>
      <c r="F92" s="441"/>
      <c r="G92" s="441"/>
      <c r="H92" s="434"/>
      <c r="I92" s="435"/>
      <c r="J92" s="436"/>
      <c r="K92" s="437"/>
      <c r="L92" s="402"/>
      <c r="M92" s="402"/>
      <c r="N92" s="402"/>
      <c r="O92" s="402"/>
      <c r="P92" s="402"/>
      <c r="Q92" s="402"/>
      <c r="R92" s="407"/>
      <c r="S92" s="446"/>
    </row>
    <row r="93" spans="1:19" x14ac:dyDescent="0.35">
      <c r="A93" s="411" t="s">
        <v>360</v>
      </c>
      <c r="B93" s="412" t="s">
        <v>361</v>
      </c>
      <c r="C93" s="413">
        <v>0</v>
      </c>
      <c r="D93" s="414">
        <v>0</v>
      </c>
      <c r="E93" s="415">
        <v>0</v>
      </c>
      <c r="F93" s="415">
        <v>0</v>
      </c>
      <c r="G93" s="415">
        <v>0</v>
      </c>
      <c r="H93" s="416">
        <f t="shared" ref="H93:H111" si="48">SUM(D93:G93)</f>
        <v>0</v>
      </c>
      <c r="I93" s="417">
        <f>C93+H93</f>
        <v>0</v>
      </c>
      <c r="J93" s="418">
        <v>0</v>
      </c>
      <c r="K93" s="419">
        <f>I93+J93</f>
        <v>0</v>
      </c>
      <c r="L93" s="402"/>
      <c r="M93" s="402"/>
      <c r="N93" s="402"/>
      <c r="O93" s="402"/>
      <c r="P93" s="402"/>
      <c r="Q93" s="402"/>
      <c r="R93" s="407"/>
      <c r="S93" s="420">
        <f>SUM(L93:R93)</f>
        <v>0</v>
      </c>
    </row>
    <row r="94" spans="1:19" x14ac:dyDescent="0.35">
      <c r="A94" s="411" t="s">
        <v>362</v>
      </c>
      <c r="B94" s="412" t="s">
        <v>363</v>
      </c>
      <c r="C94" s="413">
        <v>0</v>
      </c>
      <c r="D94" s="414">
        <v>0</v>
      </c>
      <c r="E94" s="415">
        <v>0</v>
      </c>
      <c r="F94" s="415">
        <v>0</v>
      </c>
      <c r="G94" s="415">
        <v>0</v>
      </c>
      <c r="H94" s="416">
        <f t="shared" si="48"/>
        <v>0</v>
      </c>
      <c r="I94" s="417">
        <f t="shared" ref="I94:I108" si="49">C94+H94</f>
        <v>0</v>
      </c>
      <c r="J94" s="418">
        <v>0</v>
      </c>
      <c r="K94" s="419">
        <f t="shared" si="45"/>
        <v>0</v>
      </c>
      <c r="L94" s="402"/>
      <c r="M94" s="402"/>
      <c r="N94" s="402"/>
      <c r="O94" s="402"/>
      <c r="P94" s="402"/>
      <c r="Q94" s="402"/>
      <c r="R94" s="407"/>
      <c r="S94" s="420">
        <f>SUM(L94:R94)</f>
        <v>0</v>
      </c>
    </row>
    <row r="95" spans="1:19" x14ac:dyDescent="0.35">
      <c r="A95" s="411" t="s">
        <v>364</v>
      </c>
      <c r="B95" s="412" t="s">
        <v>365</v>
      </c>
      <c r="C95" s="413">
        <v>0</v>
      </c>
      <c r="D95" s="414">
        <v>0</v>
      </c>
      <c r="E95" s="415">
        <v>0</v>
      </c>
      <c r="F95" s="415">
        <v>0</v>
      </c>
      <c r="G95" s="415">
        <v>0</v>
      </c>
      <c r="H95" s="416">
        <f t="shared" si="48"/>
        <v>0</v>
      </c>
      <c r="I95" s="417">
        <f t="shared" si="49"/>
        <v>0</v>
      </c>
      <c r="J95" s="418">
        <v>0</v>
      </c>
      <c r="K95" s="419">
        <f t="shared" si="45"/>
        <v>0</v>
      </c>
      <c r="L95" s="402"/>
      <c r="M95" s="402"/>
      <c r="N95" s="402"/>
      <c r="O95" s="402"/>
      <c r="P95" s="402"/>
      <c r="Q95" s="402"/>
      <c r="R95" s="407"/>
      <c r="S95" s="420">
        <f t="shared" ref="S95:S112" si="50">SUM(L95:R95)</f>
        <v>0</v>
      </c>
    </row>
    <row r="96" spans="1:19" x14ac:dyDescent="0.35">
      <c r="A96" s="411" t="s">
        <v>366</v>
      </c>
      <c r="B96" s="412" t="s">
        <v>367</v>
      </c>
      <c r="C96" s="413">
        <v>0</v>
      </c>
      <c r="D96" s="414">
        <v>0</v>
      </c>
      <c r="E96" s="415">
        <v>0</v>
      </c>
      <c r="F96" s="415">
        <v>0</v>
      </c>
      <c r="G96" s="415">
        <v>0</v>
      </c>
      <c r="H96" s="416">
        <f t="shared" si="48"/>
        <v>0</v>
      </c>
      <c r="I96" s="417">
        <f t="shared" si="49"/>
        <v>0</v>
      </c>
      <c r="J96" s="418">
        <v>0</v>
      </c>
      <c r="K96" s="419">
        <f t="shared" si="45"/>
        <v>0</v>
      </c>
      <c r="L96" s="402"/>
      <c r="M96" s="402"/>
      <c r="N96" s="402"/>
      <c r="O96" s="402"/>
      <c r="P96" s="402"/>
      <c r="Q96" s="402"/>
      <c r="R96" s="407"/>
      <c r="S96" s="420">
        <f t="shared" si="50"/>
        <v>0</v>
      </c>
    </row>
    <row r="97" spans="1:19" x14ac:dyDescent="0.35">
      <c r="A97" s="411" t="s">
        <v>368</v>
      </c>
      <c r="B97" s="412" t="s">
        <v>369</v>
      </c>
      <c r="C97" s="413">
        <v>0</v>
      </c>
      <c r="D97" s="414">
        <v>0</v>
      </c>
      <c r="E97" s="415">
        <v>0</v>
      </c>
      <c r="F97" s="415">
        <v>0</v>
      </c>
      <c r="G97" s="415">
        <v>0</v>
      </c>
      <c r="H97" s="416">
        <f t="shared" si="48"/>
        <v>0</v>
      </c>
      <c r="I97" s="417">
        <f t="shared" si="49"/>
        <v>0</v>
      </c>
      <c r="J97" s="418">
        <v>0</v>
      </c>
      <c r="K97" s="419">
        <f t="shared" si="45"/>
        <v>0</v>
      </c>
      <c r="L97" s="402"/>
      <c r="M97" s="402"/>
      <c r="N97" s="402"/>
      <c r="O97" s="402"/>
      <c r="P97" s="402"/>
      <c r="Q97" s="402"/>
      <c r="R97" s="407"/>
      <c r="S97" s="420">
        <f t="shared" si="50"/>
        <v>0</v>
      </c>
    </row>
    <row r="98" spans="1:19" x14ac:dyDescent="0.35">
      <c r="A98" s="411" t="s">
        <v>370</v>
      </c>
      <c r="B98" s="412" t="s">
        <v>371</v>
      </c>
      <c r="C98" s="413">
        <v>0</v>
      </c>
      <c r="D98" s="414">
        <v>0</v>
      </c>
      <c r="E98" s="415">
        <v>0</v>
      </c>
      <c r="F98" s="415">
        <v>0</v>
      </c>
      <c r="G98" s="415">
        <v>0</v>
      </c>
      <c r="H98" s="416">
        <f t="shared" si="48"/>
        <v>0</v>
      </c>
      <c r="I98" s="417">
        <f t="shared" si="49"/>
        <v>0</v>
      </c>
      <c r="J98" s="418">
        <v>0</v>
      </c>
      <c r="K98" s="419">
        <f t="shared" si="45"/>
        <v>0</v>
      </c>
      <c r="L98" s="402"/>
      <c r="M98" s="402"/>
      <c r="N98" s="402"/>
      <c r="O98" s="402"/>
      <c r="P98" s="402"/>
      <c r="Q98" s="402"/>
      <c r="R98" s="407"/>
      <c r="S98" s="420">
        <f t="shared" si="50"/>
        <v>0</v>
      </c>
    </row>
    <row r="99" spans="1:19" x14ac:dyDescent="0.35">
      <c r="A99" s="411" t="s">
        <v>372</v>
      </c>
      <c r="B99" s="412" t="s">
        <v>373</v>
      </c>
      <c r="C99" s="413">
        <v>0</v>
      </c>
      <c r="D99" s="414">
        <v>0</v>
      </c>
      <c r="E99" s="415">
        <v>0</v>
      </c>
      <c r="F99" s="415">
        <v>0</v>
      </c>
      <c r="G99" s="415">
        <v>0</v>
      </c>
      <c r="H99" s="416">
        <f t="shared" si="48"/>
        <v>0</v>
      </c>
      <c r="I99" s="417">
        <f t="shared" si="49"/>
        <v>0</v>
      </c>
      <c r="J99" s="418">
        <v>0</v>
      </c>
      <c r="K99" s="419">
        <f t="shared" si="45"/>
        <v>0</v>
      </c>
      <c r="L99" s="402"/>
      <c r="M99" s="402"/>
      <c r="N99" s="402"/>
      <c r="O99" s="402"/>
      <c r="P99" s="402"/>
      <c r="Q99" s="402"/>
      <c r="R99" s="407"/>
      <c r="S99" s="420">
        <f t="shared" si="50"/>
        <v>0</v>
      </c>
    </row>
    <row r="100" spans="1:19" x14ac:dyDescent="0.35">
      <c r="A100" s="411" t="s">
        <v>374</v>
      </c>
      <c r="B100" s="412" t="s">
        <v>375</v>
      </c>
      <c r="C100" s="413">
        <v>0</v>
      </c>
      <c r="D100" s="414">
        <v>0</v>
      </c>
      <c r="E100" s="415">
        <v>0</v>
      </c>
      <c r="F100" s="415">
        <v>0</v>
      </c>
      <c r="G100" s="415">
        <v>0</v>
      </c>
      <c r="H100" s="416">
        <f t="shared" si="48"/>
        <v>0</v>
      </c>
      <c r="I100" s="417">
        <f t="shared" si="49"/>
        <v>0</v>
      </c>
      <c r="J100" s="418">
        <v>0</v>
      </c>
      <c r="K100" s="419">
        <f t="shared" si="45"/>
        <v>0</v>
      </c>
      <c r="L100" s="402"/>
      <c r="M100" s="402"/>
      <c r="N100" s="402"/>
      <c r="O100" s="402"/>
      <c r="P100" s="402"/>
      <c r="Q100" s="402"/>
      <c r="R100" s="407"/>
      <c r="S100" s="420">
        <f t="shared" si="50"/>
        <v>0</v>
      </c>
    </row>
    <row r="101" spans="1:19" x14ac:dyDescent="0.35">
      <c r="A101" s="411" t="s">
        <v>376</v>
      </c>
      <c r="B101" s="412" t="s">
        <v>377</v>
      </c>
      <c r="C101" s="413">
        <v>0</v>
      </c>
      <c r="D101" s="414">
        <v>0</v>
      </c>
      <c r="E101" s="415">
        <v>0</v>
      </c>
      <c r="F101" s="415">
        <v>0</v>
      </c>
      <c r="G101" s="415">
        <v>0</v>
      </c>
      <c r="H101" s="416">
        <f t="shared" si="48"/>
        <v>0</v>
      </c>
      <c r="I101" s="417">
        <f t="shared" si="49"/>
        <v>0</v>
      </c>
      <c r="J101" s="418">
        <v>0</v>
      </c>
      <c r="K101" s="419">
        <f t="shared" si="45"/>
        <v>0</v>
      </c>
      <c r="L101" s="402"/>
      <c r="M101" s="402"/>
      <c r="N101" s="402"/>
      <c r="O101" s="402"/>
      <c r="P101" s="402"/>
      <c r="Q101" s="402"/>
      <c r="R101" s="407"/>
      <c r="S101" s="420">
        <f t="shared" si="50"/>
        <v>0</v>
      </c>
    </row>
    <row r="102" spans="1:19" x14ac:dyDescent="0.35">
      <c r="A102" s="411" t="s">
        <v>378</v>
      </c>
      <c r="B102" s="412" t="s">
        <v>379</v>
      </c>
      <c r="C102" s="413">
        <v>0</v>
      </c>
      <c r="D102" s="414">
        <v>0</v>
      </c>
      <c r="E102" s="415">
        <v>0</v>
      </c>
      <c r="F102" s="415">
        <v>0</v>
      </c>
      <c r="G102" s="415">
        <v>0</v>
      </c>
      <c r="H102" s="416">
        <f t="shared" si="48"/>
        <v>0</v>
      </c>
      <c r="I102" s="417">
        <f t="shared" si="49"/>
        <v>0</v>
      </c>
      <c r="J102" s="418">
        <v>0</v>
      </c>
      <c r="K102" s="419">
        <f t="shared" si="45"/>
        <v>0</v>
      </c>
      <c r="L102" s="448"/>
      <c r="M102" s="448"/>
      <c r="N102" s="448"/>
      <c r="O102" s="448"/>
      <c r="P102" s="448"/>
      <c r="Q102" s="448"/>
      <c r="R102" s="449"/>
      <c r="S102" s="420">
        <f t="shared" si="50"/>
        <v>0</v>
      </c>
    </row>
    <row r="103" spans="1:19" x14ac:dyDescent="0.35">
      <c r="A103" s="411" t="s">
        <v>380</v>
      </c>
      <c r="B103" s="412" t="s">
        <v>381</v>
      </c>
      <c r="C103" s="413">
        <v>0</v>
      </c>
      <c r="D103" s="414">
        <v>0</v>
      </c>
      <c r="E103" s="415">
        <v>0</v>
      </c>
      <c r="F103" s="415">
        <v>0</v>
      </c>
      <c r="G103" s="415">
        <v>0</v>
      </c>
      <c r="H103" s="416">
        <f t="shared" si="48"/>
        <v>0</v>
      </c>
      <c r="I103" s="417">
        <f t="shared" si="49"/>
        <v>0</v>
      </c>
      <c r="J103" s="418">
        <v>0</v>
      </c>
      <c r="K103" s="419">
        <f t="shared" si="45"/>
        <v>0</v>
      </c>
      <c r="L103" s="448"/>
      <c r="M103" s="448"/>
      <c r="N103" s="448"/>
      <c r="O103" s="448"/>
      <c r="P103" s="448"/>
      <c r="Q103" s="448"/>
      <c r="R103" s="449"/>
      <c r="S103" s="420">
        <f t="shared" si="50"/>
        <v>0</v>
      </c>
    </row>
    <row r="104" spans="1:19" x14ac:dyDescent="0.35">
      <c r="A104" s="411" t="s">
        <v>382</v>
      </c>
      <c r="B104" s="412" t="s">
        <v>383</v>
      </c>
      <c r="C104" s="413">
        <v>0</v>
      </c>
      <c r="D104" s="414">
        <v>0</v>
      </c>
      <c r="E104" s="415">
        <v>0</v>
      </c>
      <c r="F104" s="415">
        <v>0</v>
      </c>
      <c r="G104" s="415">
        <v>0</v>
      </c>
      <c r="H104" s="416">
        <f t="shared" si="48"/>
        <v>0</v>
      </c>
      <c r="I104" s="417">
        <f>C104+H104</f>
        <v>0</v>
      </c>
      <c r="J104" s="418">
        <v>0</v>
      </c>
      <c r="K104" s="419">
        <f>I104+J104</f>
        <v>0</v>
      </c>
      <c r="L104" s="448"/>
      <c r="M104" s="448"/>
      <c r="N104" s="448"/>
      <c r="O104" s="448"/>
      <c r="P104" s="448"/>
      <c r="Q104" s="448"/>
      <c r="R104" s="449"/>
      <c r="S104" s="420">
        <f>SUM(L104:R104)</f>
        <v>0</v>
      </c>
    </row>
    <row r="105" spans="1:19" x14ac:dyDescent="0.35">
      <c r="A105" s="411" t="s">
        <v>384</v>
      </c>
      <c r="B105" s="412" t="s">
        <v>385</v>
      </c>
      <c r="C105" s="413">
        <v>0</v>
      </c>
      <c r="D105" s="414">
        <v>0</v>
      </c>
      <c r="E105" s="415">
        <v>0</v>
      </c>
      <c r="F105" s="415">
        <v>0</v>
      </c>
      <c r="G105" s="415">
        <v>0</v>
      </c>
      <c r="H105" s="416">
        <f t="shared" si="48"/>
        <v>0</v>
      </c>
      <c r="I105" s="417">
        <f>C105+H105</f>
        <v>0</v>
      </c>
      <c r="J105" s="418">
        <v>0</v>
      </c>
      <c r="K105" s="419">
        <f>I105+J105</f>
        <v>0</v>
      </c>
      <c r="L105" s="448"/>
      <c r="M105" s="448"/>
      <c r="N105" s="448"/>
      <c r="O105" s="448"/>
      <c r="P105" s="448"/>
      <c r="Q105" s="448"/>
      <c r="R105" s="449"/>
      <c r="S105" s="420">
        <f>SUM(L105:R105)</f>
        <v>0</v>
      </c>
    </row>
    <row r="106" spans="1:19" x14ac:dyDescent="0.35">
      <c r="A106" s="411" t="s">
        <v>386</v>
      </c>
      <c r="B106" s="412" t="s">
        <v>387</v>
      </c>
      <c r="C106" s="413">
        <v>0</v>
      </c>
      <c r="D106" s="414">
        <v>0</v>
      </c>
      <c r="E106" s="415">
        <v>0</v>
      </c>
      <c r="F106" s="415">
        <v>0</v>
      </c>
      <c r="G106" s="415">
        <v>0</v>
      </c>
      <c r="H106" s="416">
        <f t="shared" si="48"/>
        <v>0</v>
      </c>
      <c r="I106" s="417">
        <f>C106+H106</f>
        <v>0</v>
      </c>
      <c r="J106" s="418">
        <v>0</v>
      </c>
      <c r="K106" s="419">
        <f>I106+J106</f>
        <v>0</v>
      </c>
      <c r="L106" s="448"/>
      <c r="M106" s="448"/>
      <c r="N106" s="448"/>
      <c r="O106" s="448"/>
      <c r="P106" s="448"/>
      <c r="Q106" s="448"/>
      <c r="R106" s="449"/>
      <c r="S106" s="420">
        <f>SUM(L106:R106)</f>
        <v>0</v>
      </c>
    </row>
    <row r="107" spans="1:19" x14ac:dyDescent="0.35">
      <c r="A107" s="411" t="s">
        <v>388</v>
      </c>
      <c r="B107" s="412" t="s">
        <v>389</v>
      </c>
      <c r="C107" s="413">
        <v>0</v>
      </c>
      <c r="D107" s="414">
        <v>0</v>
      </c>
      <c r="E107" s="415">
        <v>0</v>
      </c>
      <c r="F107" s="415">
        <v>0</v>
      </c>
      <c r="G107" s="415">
        <v>0</v>
      </c>
      <c r="H107" s="416">
        <f t="shared" si="48"/>
        <v>0</v>
      </c>
      <c r="I107" s="417">
        <f>C107+H107</f>
        <v>0</v>
      </c>
      <c r="J107" s="418">
        <v>0</v>
      </c>
      <c r="K107" s="419">
        <f>I107+J107</f>
        <v>0</v>
      </c>
      <c r="L107" s="448"/>
      <c r="M107" s="448"/>
      <c r="N107" s="448"/>
      <c r="O107" s="448"/>
      <c r="P107" s="448"/>
      <c r="Q107" s="448"/>
      <c r="R107" s="449"/>
      <c r="S107" s="420">
        <f>SUM(L107:R107)</f>
        <v>0</v>
      </c>
    </row>
    <row r="108" spans="1:19" ht="13.5" customHeight="1" x14ac:dyDescent="0.35">
      <c r="A108" s="411" t="s">
        <v>390</v>
      </c>
      <c r="B108" s="412" t="s">
        <v>391</v>
      </c>
      <c r="C108" s="413">
        <v>0</v>
      </c>
      <c r="D108" s="414">
        <v>0</v>
      </c>
      <c r="E108" s="415">
        <v>0</v>
      </c>
      <c r="F108" s="415">
        <v>0</v>
      </c>
      <c r="G108" s="415">
        <v>0</v>
      </c>
      <c r="H108" s="416">
        <f t="shared" si="48"/>
        <v>0</v>
      </c>
      <c r="I108" s="417">
        <f t="shared" si="49"/>
        <v>0</v>
      </c>
      <c r="J108" s="418">
        <v>0</v>
      </c>
      <c r="K108" s="419">
        <f t="shared" si="45"/>
        <v>0</v>
      </c>
      <c r="L108" s="448"/>
      <c r="M108" s="448"/>
      <c r="N108" s="448"/>
      <c r="O108" s="448"/>
      <c r="P108" s="448"/>
      <c r="Q108" s="448"/>
      <c r="R108" s="449"/>
      <c r="S108" s="420">
        <f t="shared" si="50"/>
        <v>0</v>
      </c>
    </row>
    <row r="109" spans="1:19" x14ac:dyDescent="0.35">
      <c r="A109" s="411" t="s">
        <v>392</v>
      </c>
      <c r="B109" s="21" t="s">
        <v>393</v>
      </c>
      <c r="C109" s="413">
        <v>0</v>
      </c>
      <c r="D109" s="414">
        <v>0</v>
      </c>
      <c r="E109" s="415">
        <v>0</v>
      </c>
      <c r="F109" s="415">
        <v>0</v>
      </c>
      <c r="G109" s="415">
        <v>0</v>
      </c>
      <c r="H109" s="416">
        <f t="shared" si="48"/>
        <v>0</v>
      </c>
      <c r="I109" s="417">
        <f>C109+H109</f>
        <v>0</v>
      </c>
      <c r="J109" s="418">
        <v>0</v>
      </c>
      <c r="K109" s="419">
        <f>I109+J109</f>
        <v>0</v>
      </c>
      <c r="L109" s="402"/>
      <c r="M109" s="402"/>
      <c r="N109" s="402"/>
      <c r="O109" s="402"/>
      <c r="P109" s="402"/>
      <c r="Q109" s="402"/>
      <c r="R109" s="407"/>
      <c r="S109" s="420">
        <f t="shared" si="50"/>
        <v>0</v>
      </c>
    </row>
    <row r="110" spans="1:19" x14ac:dyDescent="0.35">
      <c r="A110" s="411" t="s">
        <v>394</v>
      </c>
      <c r="B110" s="21" t="s">
        <v>395</v>
      </c>
      <c r="C110" s="413">
        <v>0</v>
      </c>
      <c r="D110" s="414">
        <v>0</v>
      </c>
      <c r="E110" s="415">
        <v>0</v>
      </c>
      <c r="F110" s="415">
        <v>0</v>
      </c>
      <c r="G110" s="415">
        <v>0</v>
      </c>
      <c r="H110" s="416">
        <f t="shared" si="48"/>
        <v>0</v>
      </c>
      <c r="I110" s="417">
        <f>C110+H110</f>
        <v>0</v>
      </c>
      <c r="J110" s="418">
        <v>0</v>
      </c>
      <c r="K110" s="419">
        <f>I110+J110</f>
        <v>0</v>
      </c>
      <c r="L110" s="402"/>
      <c r="M110" s="402"/>
      <c r="N110" s="402"/>
      <c r="O110" s="402"/>
      <c r="P110" s="402"/>
      <c r="Q110" s="402"/>
      <c r="R110" s="407"/>
      <c r="S110" s="420">
        <f t="shared" ref="S110" si="51">SUM(L110:R110)</f>
        <v>0</v>
      </c>
    </row>
    <row r="111" spans="1:19" x14ac:dyDescent="0.35">
      <c r="A111" s="411" t="s">
        <v>396</v>
      </c>
      <c r="B111" s="412" t="s">
        <v>397</v>
      </c>
      <c r="C111" s="413">
        <v>0</v>
      </c>
      <c r="D111" s="414">
        <v>0</v>
      </c>
      <c r="E111" s="415">
        <v>0</v>
      </c>
      <c r="F111" s="415">
        <v>0</v>
      </c>
      <c r="G111" s="415">
        <v>0</v>
      </c>
      <c r="H111" s="416">
        <f t="shared" si="48"/>
        <v>0</v>
      </c>
      <c r="I111" s="417">
        <f>C111+H111</f>
        <v>0</v>
      </c>
      <c r="J111" s="418">
        <v>0</v>
      </c>
      <c r="K111" s="419">
        <f>I111+J111</f>
        <v>0</v>
      </c>
      <c r="L111" s="402"/>
      <c r="M111" s="402"/>
      <c r="N111" s="402"/>
      <c r="O111" s="402"/>
      <c r="P111" s="402"/>
      <c r="Q111" s="402"/>
      <c r="R111" s="407"/>
      <c r="S111" s="420">
        <f t="shared" si="50"/>
        <v>0</v>
      </c>
    </row>
    <row r="112" spans="1:19" ht="13.5" customHeight="1" thickBot="1" x14ac:dyDescent="0.4">
      <c r="A112" s="411" t="s">
        <v>398</v>
      </c>
      <c r="B112" s="412" t="s">
        <v>399</v>
      </c>
      <c r="C112" s="413">
        <v>0</v>
      </c>
      <c r="D112" s="414">
        <v>0</v>
      </c>
      <c r="E112" s="415">
        <v>0</v>
      </c>
      <c r="F112" s="415">
        <v>0</v>
      </c>
      <c r="G112" s="415">
        <v>0</v>
      </c>
      <c r="H112" s="416">
        <f>SUM(D112:G112)</f>
        <v>0</v>
      </c>
      <c r="I112" s="417">
        <f>C112+H112</f>
        <v>0</v>
      </c>
      <c r="J112" s="418">
        <v>0</v>
      </c>
      <c r="K112" s="419">
        <f t="shared" si="45"/>
        <v>0</v>
      </c>
      <c r="L112" s="402"/>
      <c r="M112" s="402"/>
      <c r="N112" s="402"/>
      <c r="O112" s="402"/>
      <c r="P112" s="402"/>
      <c r="Q112" s="402"/>
      <c r="R112" s="407"/>
      <c r="S112" s="420">
        <f t="shared" si="50"/>
        <v>0</v>
      </c>
    </row>
    <row r="113" spans="1:19" ht="13.5" customHeight="1" thickBot="1" x14ac:dyDescent="0.4">
      <c r="A113" s="421">
        <v>84999</v>
      </c>
      <c r="B113" s="422" t="s">
        <v>400</v>
      </c>
      <c r="C113" s="423">
        <f>SUM(C93:C112)</f>
        <v>0</v>
      </c>
      <c r="D113" s="424">
        <f t="shared" ref="D113:H113" si="52">SUM(D93:D112)</f>
        <v>0</v>
      </c>
      <c r="E113" s="425">
        <f t="shared" si="52"/>
        <v>0</v>
      </c>
      <c r="F113" s="425">
        <f t="shared" si="52"/>
        <v>0</v>
      </c>
      <c r="G113" s="426">
        <f t="shared" si="52"/>
        <v>0</v>
      </c>
      <c r="H113" s="427">
        <f t="shared" si="52"/>
        <v>0</v>
      </c>
      <c r="I113" s="428">
        <f>C113+H113</f>
        <v>0</v>
      </c>
      <c r="J113" s="429">
        <f>SUM(J93:J112)</f>
        <v>0</v>
      </c>
      <c r="K113" s="430">
        <f>I113+J113</f>
        <v>0</v>
      </c>
      <c r="L113" s="431">
        <f>SUM(L93:L112)</f>
        <v>0</v>
      </c>
      <c r="M113" s="431">
        <f>SUM(M93:M112)</f>
        <v>0</v>
      </c>
      <c r="N113" s="431">
        <f t="shared" ref="N113:S113" si="53">SUM(N93:N112)</f>
        <v>0</v>
      </c>
      <c r="O113" s="431">
        <f>SUM(O93:O112)</f>
        <v>0</v>
      </c>
      <c r="P113" s="431">
        <f t="shared" si="53"/>
        <v>0</v>
      </c>
      <c r="Q113" s="431">
        <f t="shared" si="53"/>
        <v>0</v>
      </c>
      <c r="R113" s="432">
        <f t="shared" si="53"/>
        <v>0</v>
      </c>
      <c r="S113" s="433">
        <f t="shared" si="53"/>
        <v>0</v>
      </c>
    </row>
    <row r="114" spans="1:19" ht="13.5" customHeight="1" x14ac:dyDescent="0.35">
      <c r="A114" s="458"/>
      <c r="B114" s="412"/>
      <c r="C114" s="439"/>
      <c r="D114" s="440"/>
      <c r="E114" s="441"/>
      <c r="F114" s="441"/>
      <c r="G114" s="441"/>
      <c r="H114" s="434"/>
      <c r="I114" s="435"/>
      <c r="J114" s="447"/>
      <c r="K114" s="437"/>
      <c r="L114" s="402"/>
      <c r="M114" s="402"/>
      <c r="N114" s="402"/>
      <c r="O114" s="402"/>
      <c r="P114" s="402"/>
      <c r="Q114" s="402"/>
      <c r="R114" s="407"/>
      <c r="S114" s="446"/>
    </row>
    <row r="115" spans="1:19" ht="13.5" customHeight="1" thickBot="1" x14ac:dyDescent="0.4">
      <c r="A115" s="1351" t="s">
        <v>401</v>
      </c>
      <c r="B115" s="521" t="s">
        <v>402</v>
      </c>
      <c r="C115" s="413">
        <v>0</v>
      </c>
      <c r="D115" s="414">
        <v>0</v>
      </c>
      <c r="E115" s="415">
        <v>0</v>
      </c>
      <c r="F115" s="415">
        <v>0</v>
      </c>
      <c r="G115" s="415">
        <v>0</v>
      </c>
      <c r="H115" s="416">
        <f>SUM(D115:G115)</f>
        <v>0</v>
      </c>
      <c r="I115" s="417">
        <f>C115+H115</f>
        <v>0</v>
      </c>
      <c r="J115" s="418">
        <v>0</v>
      </c>
      <c r="K115" s="419">
        <f>I115+J115</f>
        <v>0</v>
      </c>
      <c r="L115" s="402"/>
      <c r="M115" s="402"/>
      <c r="N115" s="402"/>
      <c r="O115" s="402"/>
      <c r="P115" s="402"/>
      <c r="Q115" s="402"/>
      <c r="R115" s="407"/>
      <c r="S115" s="420">
        <f>SUM(L115:R115)</f>
        <v>0</v>
      </c>
    </row>
    <row r="116" spans="1:19" ht="15" thickBot="1" x14ac:dyDescent="0.4">
      <c r="A116" s="421">
        <v>86999</v>
      </c>
      <c r="B116" s="459" t="s">
        <v>403</v>
      </c>
      <c r="C116" s="423">
        <f t="shared" ref="C116:S116" si="54">C91+C113+C115</f>
        <v>0</v>
      </c>
      <c r="D116" s="424">
        <f t="shared" si="54"/>
        <v>0</v>
      </c>
      <c r="E116" s="425">
        <f t="shared" si="54"/>
        <v>0</v>
      </c>
      <c r="F116" s="425">
        <f t="shared" si="54"/>
        <v>0</v>
      </c>
      <c r="G116" s="426">
        <f t="shared" si="54"/>
        <v>0</v>
      </c>
      <c r="H116" s="460">
        <f t="shared" si="54"/>
        <v>0</v>
      </c>
      <c r="I116" s="428">
        <f t="shared" si="54"/>
        <v>0</v>
      </c>
      <c r="J116" s="461">
        <f t="shared" si="54"/>
        <v>0</v>
      </c>
      <c r="K116" s="430">
        <f t="shared" si="54"/>
        <v>0</v>
      </c>
      <c r="L116" s="431">
        <f t="shared" si="54"/>
        <v>0</v>
      </c>
      <c r="M116" s="431">
        <f t="shared" si="54"/>
        <v>0</v>
      </c>
      <c r="N116" s="431">
        <f t="shared" si="54"/>
        <v>0</v>
      </c>
      <c r="O116" s="431">
        <f t="shared" si="54"/>
        <v>0</v>
      </c>
      <c r="P116" s="431">
        <f t="shared" si="54"/>
        <v>0</v>
      </c>
      <c r="Q116" s="431">
        <f t="shared" si="54"/>
        <v>0</v>
      </c>
      <c r="R116" s="432">
        <f t="shared" si="54"/>
        <v>0</v>
      </c>
      <c r="S116" s="433">
        <f t="shared" si="54"/>
        <v>0</v>
      </c>
    </row>
    <row r="117" spans="1:19" s="21" customFormat="1" x14ac:dyDescent="0.35">
      <c r="A117" s="462"/>
      <c r="B117" s="26"/>
      <c r="C117" s="463"/>
      <c r="D117" s="464"/>
      <c r="E117" s="464"/>
      <c r="F117" s="464"/>
      <c r="H117" s="465"/>
      <c r="I117" s="466"/>
      <c r="J117" s="463"/>
      <c r="K117" s="467"/>
      <c r="L117" s="468"/>
      <c r="M117" s="468"/>
      <c r="N117" s="468"/>
      <c r="O117" s="468"/>
      <c r="P117" s="468"/>
      <c r="Q117" s="468"/>
      <c r="S117" s="469"/>
    </row>
    <row r="118" spans="1:19" x14ac:dyDescent="0.35">
      <c r="A118" s="470">
        <v>87999</v>
      </c>
      <c r="B118" s="471" t="s">
        <v>404</v>
      </c>
      <c r="C118" s="472">
        <f t="shared" ref="C118:H118" si="55">(C18-C15)-C116</f>
        <v>0</v>
      </c>
      <c r="D118" s="473">
        <f t="shared" si="55"/>
        <v>0</v>
      </c>
      <c r="E118" s="474">
        <f t="shared" si="55"/>
        <v>0</v>
      </c>
      <c r="F118" s="474">
        <f t="shared" si="55"/>
        <v>0</v>
      </c>
      <c r="G118" s="475">
        <f t="shared" si="55"/>
        <v>0</v>
      </c>
      <c r="H118" s="473">
        <f t="shared" si="55"/>
        <v>0</v>
      </c>
      <c r="I118" s="476">
        <f>C118+H118</f>
        <v>0</v>
      </c>
      <c r="J118" s="472">
        <f>(J18-J15)-J116</f>
        <v>0</v>
      </c>
      <c r="K118" s="454">
        <f>I118+J118</f>
        <v>0</v>
      </c>
      <c r="L118" s="477">
        <f t="shared" ref="L118:S118" si="56">(L18-L15)-L116</f>
        <v>0</v>
      </c>
      <c r="M118" s="477">
        <f t="shared" si="56"/>
        <v>0</v>
      </c>
      <c r="N118" s="477">
        <f t="shared" si="56"/>
        <v>0</v>
      </c>
      <c r="O118" s="477">
        <f t="shared" si="56"/>
        <v>0</v>
      </c>
      <c r="P118" s="477">
        <f t="shared" si="56"/>
        <v>0</v>
      </c>
      <c r="Q118" s="477">
        <f t="shared" si="56"/>
        <v>0</v>
      </c>
      <c r="R118" s="478">
        <f t="shared" si="56"/>
        <v>0</v>
      </c>
      <c r="S118" s="479">
        <f t="shared" si="56"/>
        <v>0</v>
      </c>
    </row>
    <row r="119" spans="1:19" x14ac:dyDescent="0.35">
      <c r="A119" s="480" t="s">
        <v>405</v>
      </c>
      <c r="B119" s="481" t="s">
        <v>406</v>
      </c>
      <c r="C119" s="482">
        <f>C15</f>
        <v>0</v>
      </c>
      <c r="D119" s="483">
        <f>D15</f>
        <v>0</v>
      </c>
      <c r="E119" s="483">
        <f>E15</f>
        <v>0</v>
      </c>
      <c r="F119" s="484">
        <f>F15</f>
        <v>0</v>
      </c>
      <c r="G119" s="485">
        <f>G15</f>
        <v>0</v>
      </c>
      <c r="H119" s="416">
        <f>H16</f>
        <v>0</v>
      </c>
      <c r="I119" s="417">
        <f>C119+H119</f>
        <v>0</v>
      </c>
      <c r="J119" s="486">
        <f>J15</f>
        <v>0</v>
      </c>
      <c r="K119" s="419">
        <f>I119+J119</f>
        <v>0</v>
      </c>
      <c r="L119" s="402"/>
      <c r="M119" s="402"/>
      <c r="N119" s="402"/>
      <c r="O119" s="402"/>
      <c r="P119" s="402"/>
      <c r="Q119" s="402"/>
      <c r="R119" s="407"/>
      <c r="S119" s="420">
        <f>SUM(L119:R119)</f>
        <v>0</v>
      </c>
    </row>
    <row r="120" spans="1:19" x14ac:dyDescent="0.35">
      <c r="A120" s="480" t="s">
        <v>407</v>
      </c>
      <c r="B120" s="481" t="s">
        <v>408</v>
      </c>
      <c r="C120" s="413">
        <v>0</v>
      </c>
      <c r="D120" s="487">
        <v>0</v>
      </c>
      <c r="E120" s="487">
        <v>0</v>
      </c>
      <c r="F120" s="414">
        <v>0</v>
      </c>
      <c r="G120" s="415">
        <v>0</v>
      </c>
      <c r="H120" s="416">
        <f>SUM(D120:G120)</f>
        <v>0</v>
      </c>
      <c r="I120" s="417">
        <f>C120+H120</f>
        <v>0</v>
      </c>
      <c r="J120" s="418">
        <v>0</v>
      </c>
      <c r="K120" s="419">
        <f>I120+J120</f>
        <v>0</v>
      </c>
      <c r="L120" s="402"/>
      <c r="M120" s="402"/>
      <c r="N120" s="402"/>
      <c r="O120" s="402"/>
      <c r="P120" s="402"/>
      <c r="Q120" s="402"/>
      <c r="R120" s="407"/>
      <c r="S120" s="420">
        <f>SUM(L120:R120)</f>
        <v>0</v>
      </c>
    </row>
    <row r="121" spans="1:19" x14ac:dyDescent="0.35">
      <c r="A121" s="470">
        <v>88999</v>
      </c>
      <c r="B121" s="488" t="s">
        <v>409</v>
      </c>
      <c r="C121" s="472">
        <f>C119+C120</f>
        <v>0</v>
      </c>
      <c r="D121" s="474">
        <f t="shared" ref="D121:G121" si="57">D119+D120</f>
        <v>0</v>
      </c>
      <c r="E121" s="474">
        <f t="shared" si="57"/>
        <v>0</v>
      </c>
      <c r="F121" s="474">
        <f t="shared" si="57"/>
        <v>0</v>
      </c>
      <c r="G121" s="489">
        <f t="shared" si="57"/>
        <v>0</v>
      </c>
      <c r="H121" s="473">
        <f>H119+H120</f>
        <v>0</v>
      </c>
      <c r="I121" s="476">
        <f>C121+H121</f>
        <v>0</v>
      </c>
      <c r="J121" s="454">
        <f>SUM(J119:J120)</f>
        <v>0</v>
      </c>
      <c r="K121" s="454">
        <f>I121+J121</f>
        <v>0</v>
      </c>
      <c r="L121" s="490">
        <f>L119+L120</f>
        <v>0</v>
      </c>
      <c r="M121" s="490">
        <f t="shared" ref="M121:R121" si="58">M119+M120</f>
        <v>0</v>
      </c>
      <c r="N121" s="490">
        <f t="shared" si="58"/>
        <v>0</v>
      </c>
      <c r="O121" s="490">
        <f t="shared" si="58"/>
        <v>0</v>
      </c>
      <c r="P121" s="490">
        <f t="shared" si="58"/>
        <v>0</v>
      </c>
      <c r="Q121" s="490">
        <f t="shared" si="58"/>
        <v>0</v>
      </c>
      <c r="R121" s="491">
        <f t="shared" si="58"/>
        <v>0</v>
      </c>
      <c r="S121" s="492">
        <f>S119+S120</f>
        <v>0</v>
      </c>
    </row>
    <row r="122" spans="1:19" ht="15" thickBot="1" x14ac:dyDescent="0.4">
      <c r="A122" s="493"/>
      <c r="B122" s="494"/>
      <c r="C122" s="495"/>
      <c r="D122" s="496"/>
      <c r="E122" s="496"/>
      <c r="F122" s="440"/>
      <c r="G122" s="441"/>
      <c r="H122" s="497"/>
      <c r="I122" s="498"/>
      <c r="J122" s="499"/>
      <c r="K122" s="500"/>
      <c r="L122" s="402"/>
      <c r="M122" s="402"/>
      <c r="N122" s="402"/>
      <c r="O122" s="402"/>
      <c r="P122" s="402"/>
      <c r="Q122" s="402"/>
      <c r="R122" s="407"/>
      <c r="S122" s="446"/>
    </row>
    <row r="123" spans="1:19" ht="15" thickBot="1" x14ac:dyDescent="0.4">
      <c r="A123" s="501">
        <v>89999</v>
      </c>
      <c r="B123" s="459" t="s">
        <v>410</v>
      </c>
      <c r="C123" s="502">
        <f>C118+C121</f>
        <v>0</v>
      </c>
      <c r="D123" s="503">
        <f t="shared" ref="D123:H123" si="59">D118+D121</f>
        <v>0</v>
      </c>
      <c r="E123" s="504">
        <f t="shared" si="59"/>
        <v>0</v>
      </c>
      <c r="F123" s="504">
        <f t="shared" si="59"/>
        <v>0</v>
      </c>
      <c r="G123" s="505">
        <f t="shared" si="59"/>
        <v>0</v>
      </c>
      <c r="H123" s="506">
        <f t="shared" si="59"/>
        <v>0</v>
      </c>
      <c r="I123" s="507">
        <f>C123+H123</f>
        <v>0</v>
      </c>
      <c r="J123" s="508">
        <f>J118+J121</f>
        <v>0</v>
      </c>
      <c r="K123" s="509">
        <f t="shared" si="45"/>
        <v>0</v>
      </c>
      <c r="L123" s="431">
        <f>L118+L121</f>
        <v>0</v>
      </c>
      <c r="M123" s="431">
        <f t="shared" ref="M123:R123" si="60">M118+M121</f>
        <v>0</v>
      </c>
      <c r="N123" s="431">
        <f t="shared" si="60"/>
        <v>0</v>
      </c>
      <c r="O123" s="431">
        <f t="shared" si="60"/>
        <v>0</v>
      </c>
      <c r="P123" s="431">
        <f t="shared" si="60"/>
        <v>0</v>
      </c>
      <c r="Q123" s="431">
        <f t="shared" si="60"/>
        <v>0</v>
      </c>
      <c r="R123" s="432">
        <f t="shared" si="60"/>
        <v>0</v>
      </c>
      <c r="S123" s="433">
        <f>S118+S121</f>
        <v>0</v>
      </c>
    </row>
    <row r="124" spans="1:19" x14ac:dyDescent="0.35">
      <c r="A124" s="480"/>
      <c r="B124" s="510"/>
      <c r="C124" s="439"/>
      <c r="D124" s="440"/>
      <c r="E124" s="441"/>
      <c r="F124" s="441"/>
      <c r="G124" s="441"/>
      <c r="H124" s="511"/>
      <c r="I124" s="435"/>
      <c r="J124" s="440"/>
      <c r="K124" s="437"/>
      <c r="L124" s="448"/>
      <c r="M124" s="448"/>
      <c r="N124" s="448"/>
      <c r="O124" s="448"/>
      <c r="P124" s="448"/>
      <c r="Q124" s="448"/>
      <c r="R124" s="449"/>
      <c r="S124" s="446"/>
    </row>
    <row r="125" spans="1:19" x14ac:dyDescent="0.35">
      <c r="A125" s="411" t="s">
        <v>411</v>
      </c>
      <c r="B125" s="412" t="s">
        <v>412</v>
      </c>
      <c r="C125" s="413">
        <v>0</v>
      </c>
      <c r="D125" s="414">
        <v>0</v>
      </c>
      <c r="E125" s="415">
        <v>0</v>
      </c>
      <c r="F125" s="415">
        <v>0</v>
      </c>
      <c r="G125" s="415">
        <v>0</v>
      </c>
      <c r="H125" s="416">
        <f>SUM(D125:G125)</f>
        <v>0</v>
      </c>
      <c r="I125" s="417">
        <f>C125+H125</f>
        <v>0</v>
      </c>
      <c r="J125" s="418">
        <v>0</v>
      </c>
      <c r="K125" s="419">
        <f t="shared" si="45"/>
        <v>0</v>
      </c>
      <c r="L125" s="402"/>
      <c r="M125" s="402"/>
      <c r="N125" s="402"/>
      <c r="O125" s="402"/>
      <c r="P125" s="402"/>
      <c r="Q125" s="402"/>
      <c r="R125" s="407"/>
      <c r="S125" s="420">
        <f>SUM(L125:R125)</f>
        <v>0</v>
      </c>
    </row>
    <row r="126" spans="1:19" ht="15" thickBot="1" x14ac:dyDescent="0.4">
      <c r="A126" s="458"/>
      <c r="B126" s="412"/>
      <c r="C126" s="439"/>
      <c r="D126" s="512"/>
      <c r="E126" s="512"/>
      <c r="F126" s="512"/>
      <c r="G126" s="440"/>
      <c r="H126" s="434"/>
      <c r="I126" s="435"/>
      <c r="J126" s="436"/>
      <c r="K126" s="437"/>
      <c r="L126" s="402"/>
      <c r="M126" s="402"/>
      <c r="N126" s="402"/>
      <c r="O126" s="402"/>
      <c r="P126" s="402"/>
      <c r="Q126" s="402"/>
      <c r="R126" s="407"/>
      <c r="S126" s="446"/>
    </row>
    <row r="127" spans="1:19" ht="15" thickBot="1" x14ac:dyDescent="0.4">
      <c r="A127" s="421">
        <v>99999</v>
      </c>
      <c r="B127" s="422" t="s">
        <v>413</v>
      </c>
      <c r="C127" s="423">
        <f>C123-C125</f>
        <v>0</v>
      </c>
      <c r="D127" s="424">
        <f t="shared" ref="D127:S127" si="61">D123-D125</f>
        <v>0</v>
      </c>
      <c r="E127" s="425">
        <f t="shared" si="61"/>
        <v>0</v>
      </c>
      <c r="F127" s="425">
        <f t="shared" si="61"/>
        <v>0</v>
      </c>
      <c r="G127" s="426">
        <f t="shared" si="61"/>
        <v>0</v>
      </c>
      <c r="H127" s="427">
        <f t="shared" si="61"/>
        <v>0</v>
      </c>
      <c r="I127" s="428">
        <f t="shared" si="61"/>
        <v>0</v>
      </c>
      <c r="J127" s="429">
        <f t="shared" si="61"/>
        <v>0</v>
      </c>
      <c r="K127" s="430">
        <f t="shared" si="61"/>
        <v>0</v>
      </c>
      <c r="L127" s="431">
        <f t="shared" si="61"/>
        <v>0</v>
      </c>
      <c r="M127" s="431">
        <f t="shared" si="61"/>
        <v>0</v>
      </c>
      <c r="N127" s="431">
        <f t="shared" si="61"/>
        <v>0</v>
      </c>
      <c r="O127" s="431">
        <f t="shared" si="61"/>
        <v>0</v>
      </c>
      <c r="P127" s="431">
        <f t="shared" si="61"/>
        <v>0</v>
      </c>
      <c r="Q127" s="431">
        <f t="shared" si="61"/>
        <v>0</v>
      </c>
      <c r="R127" s="432">
        <f t="shared" si="61"/>
        <v>0</v>
      </c>
      <c r="S127" s="433">
        <f t="shared" si="61"/>
        <v>0</v>
      </c>
    </row>
    <row r="128" spans="1:19" x14ac:dyDescent="0.35">
      <c r="C128" s="513"/>
      <c r="D128" s="514"/>
      <c r="E128" s="515"/>
      <c r="F128" s="515"/>
      <c r="H128" s="517"/>
      <c r="I128" s="518"/>
      <c r="K128" s="519"/>
      <c r="L128" s="515"/>
      <c r="M128" s="515"/>
      <c r="N128" s="515"/>
      <c r="O128" s="515"/>
      <c r="P128" s="515"/>
      <c r="Q128" s="515"/>
      <c r="S128" s="519"/>
    </row>
    <row r="129" spans="1:19" x14ac:dyDescent="0.35">
      <c r="A129" s="411" t="s">
        <v>414</v>
      </c>
      <c r="B129" s="412" t="s">
        <v>415</v>
      </c>
      <c r="C129" s="413">
        <v>0</v>
      </c>
      <c r="D129" s="414">
        <v>0</v>
      </c>
      <c r="E129" s="415">
        <v>0</v>
      </c>
      <c r="F129" s="415">
        <v>0</v>
      </c>
      <c r="G129" s="415">
        <v>0</v>
      </c>
      <c r="H129" s="416">
        <f t="shared" ref="H129:H132" si="62">SUM(D129:G129)</f>
        <v>0</v>
      </c>
      <c r="I129" s="417">
        <f t="shared" ref="I129:I132" si="63">C129+H129</f>
        <v>0</v>
      </c>
      <c r="J129" s="418">
        <v>0</v>
      </c>
      <c r="K129" s="419">
        <f t="shared" ref="K129:K132" si="64">I129+J129</f>
        <v>0</v>
      </c>
      <c r="L129" s="402"/>
      <c r="M129" s="402"/>
      <c r="N129" s="402"/>
      <c r="O129" s="402"/>
      <c r="P129" s="402"/>
      <c r="Q129" s="402"/>
      <c r="R129" s="407"/>
      <c r="S129" s="420">
        <f>SUM(L129:R129)</f>
        <v>0</v>
      </c>
    </row>
    <row r="130" spans="1:19" x14ac:dyDescent="0.35">
      <c r="A130" s="411" t="s">
        <v>416</v>
      </c>
      <c r="B130" s="400" t="s">
        <v>417</v>
      </c>
      <c r="C130" s="413">
        <v>0</v>
      </c>
      <c r="D130" s="414">
        <v>0</v>
      </c>
      <c r="E130" s="415">
        <v>0</v>
      </c>
      <c r="F130" s="415">
        <v>0</v>
      </c>
      <c r="G130" s="415">
        <v>0</v>
      </c>
      <c r="H130" s="416">
        <f t="shared" si="62"/>
        <v>0</v>
      </c>
      <c r="I130" s="417">
        <f t="shared" si="63"/>
        <v>0</v>
      </c>
      <c r="J130" s="418">
        <v>0</v>
      </c>
      <c r="K130" s="419">
        <f t="shared" si="64"/>
        <v>0</v>
      </c>
      <c r="L130" s="402"/>
      <c r="M130" s="402"/>
      <c r="N130" s="402"/>
      <c r="O130" s="402"/>
      <c r="P130" s="402"/>
      <c r="Q130" s="402"/>
      <c r="R130" s="407"/>
      <c r="S130" s="420">
        <f>SUM(L130:R130)</f>
        <v>0</v>
      </c>
    </row>
    <row r="131" spans="1:19" x14ac:dyDescent="0.35">
      <c r="A131" s="411" t="s">
        <v>418</v>
      </c>
      <c r="B131" s="400" t="s">
        <v>419</v>
      </c>
      <c r="C131" s="413">
        <v>0</v>
      </c>
      <c r="D131" s="414">
        <v>0</v>
      </c>
      <c r="E131" s="415">
        <v>0</v>
      </c>
      <c r="F131" s="415">
        <v>0</v>
      </c>
      <c r="G131" s="415">
        <v>0</v>
      </c>
      <c r="H131" s="416">
        <f t="shared" si="62"/>
        <v>0</v>
      </c>
      <c r="I131" s="417">
        <f t="shared" si="63"/>
        <v>0</v>
      </c>
      <c r="J131" s="418">
        <v>0</v>
      </c>
      <c r="K131" s="419">
        <f t="shared" si="64"/>
        <v>0</v>
      </c>
      <c r="L131" s="402"/>
      <c r="M131" s="402"/>
      <c r="N131" s="402"/>
      <c r="O131" s="402"/>
      <c r="P131" s="402"/>
      <c r="Q131" s="402"/>
      <c r="R131" s="407"/>
      <c r="S131" s="420">
        <f>SUM(L131:R131)</f>
        <v>0</v>
      </c>
    </row>
    <row r="132" spans="1:19" x14ac:dyDescent="0.35">
      <c r="A132" s="411" t="s">
        <v>420</v>
      </c>
      <c r="B132" s="400" t="s">
        <v>421</v>
      </c>
      <c r="C132" s="413">
        <v>0</v>
      </c>
      <c r="D132" s="414">
        <v>0</v>
      </c>
      <c r="E132" s="415">
        <v>0</v>
      </c>
      <c r="F132" s="415">
        <v>0</v>
      </c>
      <c r="G132" s="415">
        <v>0</v>
      </c>
      <c r="H132" s="416">
        <f t="shared" si="62"/>
        <v>0</v>
      </c>
      <c r="I132" s="417">
        <f t="shared" si="63"/>
        <v>0</v>
      </c>
      <c r="J132" s="418">
        <v>0</v>
      </c>
      <c r="K132" s="419">
        <f t="shared" si="64"/>
        <v>0</v>
      </c>
      <c r="L132" s="402"/>
      <c r="M132" s="402"/>
      <c r="N132" s="402"/>
      <c r="O132" s="402"/>
      <c r="P132" s="402"/>
      <c r="Q132" s="402"/>
      <c r="R132" s="407"/>
      <c r="S132" s="420">
        <f>SUM(L132:R132)</f>
        <v>0</v>
      </c>
    </row>
    <row r="133" spans="1:19" ht="15" thickBot="1" x14ac:dyDescent="0.4">
      <c r="A133" s="458"/>
      <c r="B133" s="412"/>
      <c r="C133" s="495"/>
      <c r="D133" s="512"/>
      <c r="E133" s="512"/>
      <c r="F133" s="512"/>
      <c r="G133" s="440"/>
      <c r="H133" s="497"/>
      <c r="I133" s="498"/>
      <c r="J133" s="436"/>
      <c r="K133" s="500"/>
      <c r="L133" s="402"/>
      <c r="M133" s="402"/>
      <c r="N133" s="402"/>
      <c r="O133" s="402"/>
      <c r="P133" s="402"/>
      <c r="Q133" s="402"/>
      <c r="R133" s="407"/>
      <c r="S133" s="520"/>
    </row>
    <row r="134" spans="1:19" ht="15" thickBot="1" x14ac:dyDescent="0.4">
      <c r="A134" s="421">
        <v>999999</v>
      </c>
      <c r="B134" s="422" t="s">
        <v>422</v>
      </c>
      <c r="C134" s="423">
        <f>C127-C129-C130-C131-C132</f>
        <v>0</v>
      </c>
      <c r="D134" s="424">
        <f t="shared" ref="D134:H134" si="65">D127-D129-D130-D131-D132</f>
        <v>0</v>
      </c>
      <c r="E134" s="425">
        <f t="shared" si="65"/>
        <v>0</v>
      </c>
      <c r="F134" s="425">
        <f t="shared" si="65"/>
        <v>0</v>
      </c>
      <c r="G134" s="426">
        <f t="shared" si="65"/>
        <v>0</v>
      </c>
      <c r="H134" s="427">
        <f t="shared" si="65"/>
        <v>0</v>
      </c>
      <c r="I134" s="428">
        <f>C134+H134</f>
        <v>0</v>
      </c>
      <c r="J134" s="429">
        <f>J127-J129-J130-J131-J132</f>
        <v>0</v>
      </c>
      <c r="K134" s="430">
        <f>I134+J134</f>
        <v>0</v>
      </c>
      <c r="L134" s="431">
        <f>L127-L129-L130-L131-L132</f>
        <v>0</v>
      </c>
      <c r="M134" s="431">
        <f t="shared" ref="M134:R134" si="66">M127-M129-M130-M131-M132</f>
        <v>0</v>
      </c>
      <c r="N134" s="431">
        <f t="shared" si="66"/>
        <v>0</v>
      </c>
      <c r="O134" s="431">
        <f t="shared" si="66"/>
        <v>0</v>
      </c>
      <c r="P134" s="431">
        <f t="shared" si="66"/>
        <v>0</v>
      </c>
      <c r="Q134" s="431">
        <f t="shared" si="66"/>
        <v>0</v>
      </c>
      <c r="R134" s="432">
        <f t="shared" si="66"/>
        <v>0</v>
      </c>
      <c r="S134" s="433">
        <f>S127-S129-S130-S131-S132</f>
        <v>0</v>
      </c>
    </row>
  </sheetData>
  <mergeCells count="1">
    <mergeCell ref="D4:G4"/>
  </mergeCells>
  <phoneticPr fontId="15" type="noConversion"/>
  <printOptions gridLinesSet="0"/>
  <pageMargins left="0.22" right="0.17" top="0.3" bottom="1" header="0.17" footer="0.5"/>
  <pageSetup scale="35" orientation="portrait" r:id="rId1"/>
  <headerFooter alignWithMargins="0">
    <oddFooter>&amp;L&amp;Z&amp;F&amp;A</oddFooter>
  </headerFooter>
  <ignoredErrors>
    <ignoredError sqref="H16:H17 H20:H25 H28:H42 H45:H59 H83:I83 H86:H90 H93:H111 H8:H13 H62:H76" formulaRange="1"/>
    <ignoredError sqref="I14 K14 C26:K26 I43 K43 I60 K60 K82 I84 K84 I91:K91 I113:K113 I118:I121 K118:K121 I123 K123 I134:K134 S1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13467-C9C8-4644-BA9F-92E5A09B7272}">
  <dimension ref="A1:F150"/>
  <sheetViews>
    <sheetView showGridLines="0" workbookViewId="0">
      <selection activeCell="M19" sqref="M19"/>
    </sheetView>
  </sheetViews>
  <sheetFormatPr defaultColWidth="9.1796875" defaultRowHeight="14.5" x14ac:dyDescent="0.35"/>
  <cols>
    <col min="1" max="1" width="17" style="3" bestFit="1" customWidth="1"/>
    <col min="2" max="2" width="30.7265625" style="3" customWidth="1"/>
    <col min="3" max="4" width="11" style="4" bestFit="1" customWidth="1"/>
    <col min="5" max="5" width="61.81640625" style="5" customWidth="1"/>
    <col min="6" max="6" width="31.54296875" style="3" bestFit="1" customWidth="1"/>
    <col min="7" max="16384" width="9.1796875" style="3"/>
  </cols>
  <sheetData>
    <row r="1" spans="1:6" ht="15" thickBot="1" x14ac:dyDescent="0.4">
      <c r="A1" s="1610" t="s">
        <v>822</v>
      </c>
      <c r="B1" s="1611"/>
      <c r="C1" s="1612"/>
      <c r="D1" s="1613"/>
      <c r="E1" s="386" t="s">
        <v>863</v>
      </c>
      <c r="F1" s="2100"/>
    </row>
    <row r="2" spans="1:6" x14ac:dyDescent="0.35">
      <c r="A2" s="387" t="s">
        <v>45</v>
      </c>
      <c r="B2" s="23" t="str">
        <f>'FS-Balance Sheet 3.04'!B4</f>
        <v>Select Contractor Name</v>
      </c>
      <c r="C2" s="2101"/>
      <c r="D2" s="2101"/>
      <c r="E2" s="2100"/>
      <c r="F2" s="2100"/>
    </row>
    <row r="3" spans="1:6" x14ac:dyDescent="0.35">
      <c r="A3" s="388" t="s">
        <v>424</v>
      </c>
      <c r="B3" s="40" t="str">
        <f>'Audit Recon Balance Sheet F-1a'!B3</f>
        <v>mm/dd/yyyy</v>
      </c>
      <c r="C3" s="2101"/>
      <c r="D3" s="2101"/>
      <c r="E3" s="2100"/>
      <c r="F3" s="2100"/>
    </row>
    <row r="4" spans="1:6" ht="15" thickBot="1" x14ac:dyDescent="0.4">
      <c r="A4" s="2100"/>
      <c r="B4" s="2100"/>
      <c r="C4" s="2101"/>
      <c r="D4" s="2101"/>
      <c r="E4" s="2100"/>
      <c r="F4" s="2100"/>
    </row>
    <row r="5" spans="1:6" x14ac:dyDescent="0.35">
      <c r="A5" s="1751" t="s">
        <v>865</v>
      </c>
      <c r="B5" s="1753" t="s">
        <v>866</v>
      </c>
      <c r="C5" s="1755"/>
      <c r="D5" s="1755"/>
      <c r="E5" s="1753"/>
      <c r="F5" s="1757"/>
    </row>
    <row r="6" spans="1:6" ht="15" thickBot="1" x14ac:dyDescent="0.4">
      <c r="A6" s="1752" t="s">
        <v>867</v>
      </c>
      <c r="B6" s="1754" t="s">
        <v>549</v>
      </c>
      <c r="C6" s="1756" t="s">
        <v>868</v>
      </c>
      <c r="D6" s="1756" t="s">
        <v>869</v>
      </c>
      <c r="E6" s="1754" t="s">
        <v>870</v>
      </c>
      <c r="F6" s="1750" t="s">
        <v>871</v>
      </c>
    </row>
    <row r="7" spans="1:6" x14ac:dyDescent="0.35">
      <c r="A7" s="2102"/>
      <c r="B7" s="2102"/>
      <c r="C7" s="2103"/>
      <c r="D7" s="2103"/>
      <c r="E7" s="2104"/>
      <c r="F7" s="389" t="s">
        <v>640</v>
      </c>
    </row>
    <row r="8" spans="1:6" x14ac:dyDescent="0.35">
      <c r="A8" s="2102"/>
      <c r="B8" s="2102"/>
      <c r="C8" s="2103"/>
      <c r="D8" s="2103"/>
      <c r="E8" s="2104"/>
      <c r="F8" s="389" t="s">
        <v>640</v>
      </c>
    </row>
    <row r="9" spans="1:6" x14ac:dyDescent="0.35">
      <c r="A9" s="2102"/>
      <c r="B9" s="2102"/>
      <c r="C9" s="2103"/>
      <c r="D9" s="2103"/>
      <c r="E9" s="2104"/>
      <c r="F9" s="389" t="s">
        <v>640</v>
      </c>
    </row>
    <row r="10" spans="1:6" x14ac:dyDescent="0.35">
      <c r="A10" s="2102"/>
      <c r="B10" s="2102"/>
      <c r="C10" s="2103"/>
      <c r="D10" s="2103"/>
      <c r="E10" s="2104"/>
      <c r="F10" s="389" t="s">
        <v>640</v>
      </c>
    </row>
    <row r="11" spans="1:6" x14ac:dyDescent="0.35">
      <c r="A11" s="2102"/>
      <c r="B11" s="2102"/>
      <c r="C11" s="2103"/>
      <c r="D11" s="2103"/>
      <c r="E11" s="2104"/>
      <c r="F11" s="389" t="s">
        <v>640</v>
      </c>
    </row>
    <row r="12" spans="1:6" x14ac:dyDescent="0.35">
      <c r="A12" s="2102"/>
      <c r="B12" s="2102"/>
      <c r="C12" s="2103"/>
      <c r="D12" s="2103"/>
      <c r="E12" s="2104"/>
      <c r="F12" s="389" t="s">
        <v>640</v>
      </c>
    </row>
    <row r="13" spans="1:6" x14ac:dyDescent="0.35">
      <c r="A13" s="2102"/>
      <c r="B13" s="2102"/>
      <c r="C13" s="2103"/>
      <c r="D13" s="2103"/>
      <c r="E13" s="2104"/>
      <c r="F13" s="389" t="s">
        <v>640</v>
      </c>
    </row>
    <row r="14" spans="1:6" x14ac:dyDescent="0.35">
      <c r="A14" s="2102"/>
      <c r="B14" s="2102"/>
      <c r="C14" s="2103"/>
      <c r="D14" s="2103"/>
      <c r="E14" s="2104"/>
      <c r="F14" s="389" t="s">
        <v>640</v>
      </c>
    </row>
    <row r="15" spans="1:6" x14ac:dyDescent="0.35">
      <c r="A15" s="2102"/>
      <c r="B15" s="2102"/>
      <c r="C15" s="2103"/>
      <c r="D15" s="2103"/>
      <c r="E15" s="2104"/>
      <c r="F15" s="389" t="s">
        <v>640</v>
      </c>
    </row>
    <row r="16" spans="1:6" x14ac:dyDescent="0.35">
      <c r="A16" s="2102"/>
      <c r="B16" s="2102"/>
      <c r="C16" s="2103"/>
      <c r="D16" s="2103"/>
      <c r="E16" s="2104"/>
      <c r="F16" s="389" t="s">
        <v>640</v>
      </c>
    </row>
    <row r="17" spans="1:6" x14ac:dyDescent="0.35">
      <c r="A17" s="2102"/>
      <c r="B17" s="2102"/>
      <c r="C17" s="2103"/>
      <c r="D17" s="2103"/>
      <c r="E17" s="2104"/>
      <c r="F17" s="389" t="s">
        <v>640</v>
      </c>
    </row>
    <row r="18" spans="1:6" x14ac:dyDescent="0.35">
      <c r="A18" s="2102"/>
      <c r="B18" s="2102"/>
      <c r="C18" s="2103"/>
      <c r="D18" s="2103"/>
      <c r="E18" s="2104"/>
      <c r="F18" s="389" t="s">
        <v>640</v>
      </c>
    </row>
    <row r="19" spans="1:6" x14ac:dyDescent="0.35">
      <c r="A19" s="2102"/>
      <c r="B19" s="2102"/>
      <c r="C19" s="2103"/>
      <c r="D19" s="2103"/>
      <c r="E19" s="2104"/>
      <c r="F19" s="389" t="s">
        <v>640</v>
      </c>
    </row>
    <row r="20" spans="1:6" x14ac:dyDescent="0.35">
      <c r="A20" s="2102"/>
      <c r="B20" s="2102"/>
      <c r="C20" s="2103"/>
      <c r="D20" s="2103"/>
      <c r="E20" s="2104"/>
      <c r="F20" s="389" t="s">
        <v>640</v>
      </c>
    </row>
    <row r="21" spans="1:6" x14ac:dyDescent="0.35">
      <c r="A21" s="2102"/>
      <c r="B21" s="2102"/>
      <c r="C21" s="2103"/>
      <c r="D21" s="2103"/>
      <c r="E21" s="2104"/>
      <c r="F21" s="389" t="s">
        <v>640</v>
      </c>
    </row>
    <row r="22" spans="1:6" x14ac:dyDescent="0.35">
      <c r="A22" s="2102"/>
      <c r="B22" s="2102"/>
      <c r="C22" s="2103"/>
      <c r="D22" s="2103"/>
      <c r="E22" s="2104"/>
      <c r="F22" s="389" t="s">
        <v>640</v>
      </c>
    </row>
    <row r="23" spans="1:6" x14ac:dyDescent="0.35">
      <c r="A23" s="2102"/>
      <c r="B23" s="2102"/>
      <c r="C23" s="2103"/>
      <c r="D23" s="2103"/>
      <c r="E23" s="2104"/>
      <c r="F23" s="389" t="s">
        <v>640</v>
      </c>
    </row>
    <row r="24" spans="1:6" x14ac:dyDescent="0.35">
      <c r="A24" s="2102"/>
      <c r="B24" s="2102"/>
      <c r="C24" s="2103"/>
      <c r="D24" s="2103"/>
      <c r="E24" s="2104"/>
      <c r="F24" s="389" t="s">
        <v>640</v>
      </c>
    </row>
    <row r="25" spans="1:6" x14ac:dyDescent="0.35">
      <c r="A25" s="2102"/>
      <c r="B25" s="2102"/>
      <c r="C25" s="2103"/>
      <c r="D25" s="2103"/>
      <c r="E25" s="2104"/>
      <c r="F25" s="389" t="s">
        <v>640</v>
      </c>
    </row>
    <row r="26" spans="1:6" x14ac:dyDescent="0.35">
      <c r="A26" s="2102"/>
      <c r="B26" s="2102"/>
      <c r="C26" s="2103"/>
      <c r="D26" s="2103"/>
      <c r="E26" s="2104"/>
      <c r="F26" s="389" t="s">
        <v>640</v>
      </c>
    </row>
    <row r="27" spans="1:6" x14ac:dyDescent="0.35">
      <c r="A27" s="2102"/>
      <c r="B27" s="2102"/>
      <c r="C27" s="2103"/>
      <c r="D27" s="2103"/>
      <c r="E27" s="2104"/>
      <c r="F27" s="389" t="s">
        <v>640</v>
      </c>
    </row>
    <row r="28" spans="1:6" x14ac:dyDescent="0.35">
      <c r="A28" s="2102"/>
      <c r="B28" s="2102"/>
      <c r="C28" s="2103"/>
      <c r="D28" s="2103"/>
      <c r="E28" s="2104"/>
      <c r="F28" s="389" t="s">
        <v>640</v>
      </c>
    </row>
    <row r="29" spans="1:6" x14ac:dyDescent="0.35">
      <c r="A29" s="2102"/>
      <c r="B29" s="2102"/>
      <c r="C29" s="2103"/>
      <c r="D29" s="2103"/>
      <c r="E29" s="2104"/>
      <c r="F29" s="389" t="s">
        <v>640</v>
      </c>
    </row>
    <row r="30" spans="1:6" x14ac:dyDescent="0.35">
      <c r="A30" s="2102"/>
      <c r="B30" s="2102"/>
      <c r="C30" s="2103"/>
      <c r="D30" s="2103"/>
      <c r="E30" s="2104"/>
      <c r="F30" s="389" t="s">
        <v>640</v>
      </c>
    </row>
    <row r="31" spans="1:6" x14ac:dyDescent="0.35">
      <c r="A31" s="2102"/>
      <c r="B31" s="2102"/>
      <c r="C31" s="2103"/>
      <c r="D31" s="2103"/>
      <c r="E31" s="2104"/>
      <c r="F31" s="389" t="s">
        <v>640</v>
      </c>
    </row>
    <row r="32" spans="1:6" x14ac:dyDescent="0.35">
      <c r="A32" s="2102"/>
      <c r="B32" s="2102"/>
      <c r="C32" s="2103"/>
      <c r="D32" s="2103"/>
      <c r="E32" s="2104"/>
      <c r="F32" s="389" t="s">
        <v>640</v>
      </c>
    </row>
    <row r="33" spans="1:6" x14ac:dyDescent="0.35">
      <c r="A33" s="2102"/>
      <c r="B33" s="2102"/>
      <c r="C33" s="2103"/>
      <c r="D33" s="2103"/>
      <c r="E33" s="2104"/>
      <c r="F33" s="389" t="s">
        <v>640</v>
      </c>
    </row>
    <row r="34" spans="1:6" x14ac:dyDescent="0.35">
      <c r="A34" s="2102"/>
      <c r="B34" s="2102"/>
      <c r="C34" s="2103"/>
      <c r="D34" s="2103"/>
      <c r="E34" s="2104"/>
      <c r="F34" s="389" t="s">
        <v>640</v>
      </c>
    </row>
    <row r="35" spans="1:6" x14ac:dyDescent="0.35">
      <c r="A35" s="2102"/>
      <c r="B35" s="2102"/>
      <c r="C35" s="2103"/>
      <c r="D35" s="2103"/>
      <c r="E35" s="2104"/>
      <c r="F35" s="389" t="s">
        <v>640</v>
      </c>
    </row>
    <row r="36" spans="1:6" x14ac:dyDescent="0.35">
      <c r="A36" s="2102"/>
      <c r="B36" s="2102"/>
      <c r="C36" s="2103"/>
      <c r="D36" s="2103"/>
      <c r="E36" s="2104"/>
      <c r="F36" s="389" t="s">
        <v>640</v>
      </c>
    </row>
    <row r="37" spans="1:6" x14ac:dyDescent="0.35">
      <c r="A37" s="2102"/>
      <c r="B37" s="2102"/>
      <c r="C37" s="2103"/>
      <c r="D37" s="2103"/>
      <c r="E37" s="2104"/>
      <c r="F37" s="389" t="s">
        <v>640</v>
      </c>
    </row>
    <row r="38" spans="1:6" x14ac:dyDescent="0.35">
      <c r="A38" s="2102"/>
      <c r="B38" s="2102"/>
      <c r="C38" s="2103"/>
      <c r="D38" s="2103"/>
      <c r="E38" s="2104"/>
      <c r="F38" s="389" t="s">
        <v>640</v>
      </c>
    </row>
    <row r="39" spans="1:6" x14ac:dyDescent="0.35">
      <c r="A39" s="2102"/>
      <c r="B39" s="2102"/>
      <c r="C39" s="2103"/>
      <c r="D39" s="2103"/>
      <c r="E39" s="2104"/>
      <c r="F39" s="389" t="s">
        <v>640</v>
      </c>
    </row>
    <row r="40" spans="1:6" x14ac:dyDescent="0.35">
      <c r="A40" s="2102"/>
      <c r="B40" s="2102"/>
      <c r="C40" s="2103"/>
      <c r="D40" s="2103"/>
      <c r="E40" s="2104"/>
      <c r="F40" s="389" t="s">
        <v>640</v>
      </c>
    </row>
    <row r="41" spans="1:6" x14ac:dyDescent="0.35">
      <c r="A41" s="2102"/>
      <c r="B41" s="2102"/>
      <c r="C41" s="2103"/>
      <c r="D41" s="2103"/>
      <c r="E41" s="2104"/>
      <c r="F41" s="389" t="s">
        <v>640</v>
      </c>
    </row>
    <row r="42" spans="1:6" x14ac:dyDescent="0.35">
      <c r="A42" s="2102"/>
      <c r="B42" s="2102"/>
      <c r="C42" s="2103"/>
      <c r="D42" s="2103"/>
      <c r="E42" s="2104"/>
      <c r="F42" s="389" t="s">
        <v>640</v>
      </c>
    </row>
    <row r="43" spans="1:6" x14ac:dyDescent="0.35">
      <c r="A43" s="2102"/>
      <c r="B43" s="2102"/>
      <c r="C43" s="2103"/>
      <c r="D43" s="2103"/>
      <c r="E43" s="2104"/>
      <c r="F43" s="389" t="s">
        <v>640</v>
      </c>
    </row>
    <row r="44" spans="1:6" x14ac:dyDescent="0.35">
      <c r="A44" s="2102"/>
      <c r="B44" s="2102"/>
      <c r="C44" s="2103"/>
      <c r="D44" s="2103"/>
      <c r="E44" s="2104"/>
      <c r="F44" s="389" t="s">
        <v>640</v>
      </c>
    </row>
    <row r="45" spans="1:6" x14ac:dyDescent="0.35">
      <c r="A45" s="2102"/>
      <c r="B45" s="2102"/>
      <c r="C45" s="2103"/>
      <c r="D45" s="2103"/>
      <c r="E45" s="2104"/>
      <c r="F45" s="389" t="s">
        <v>640</v>
      </c>
    </row>
    <row r="46" spans="1:6" x14ac:dyDescent="0.35">
      <c r="A46" s="2102"/>
      <c r="B46" s="2102"/>
      <c r="C46" s="2103"/>
      <c r="D46" s="2103"/>
      <c r="E46" s="2104"/>
      <c r="F46" s="389" t="s">
        <v>640</v>
      </c>
    </row>
    <row r="47" spans="1:6" x14ac:dyDescent="0.35">
      <c r="A47" s="2102"/>
      <c r="B47" s="2102"/>
      <c r="C47" s="2103"/>
      <c r="D47" s="2103"/>
      <c r="E47" s="2104"/>
      <c r="F47" s="389" t="s">
        <v>640</v>
      </c>
    </row>
    <row r="48" spans="1:6" x14ac:dyDescent="0.35">
      <c r="A48" s="2102"/>
      <c r="B48" s="2102"/>
      <c r="C48" s="2103"/>
      <c r="D48" s="2103"/>
      <c r="E48" s="2104"/>
      <c r="F48" s="389" t="s">
        <v>640</v>
      </c>
    </row>
    <row r="49" spans="1:6" x14ac:dyDescent="0.35">
      <c r="A49" s="2102"/>
      <c r="B49" s="2102"/>
      <c r="C49" s="2103"/>
      <c r="D49" s="2103"/>
      <c r="E49" s="2104"/>
      <c r="F49" s="389" t="s">
        <v>640</v>
      </c>
    </row>
    <row r="50" spans="1:6" x14ac:dyDescent="0.35">
      <c r="A50" s="2102"/>
      <c r="B50" s="2102"/>
      <c r="C50" s="2103"/>
      <c r="D50" s="2103"/>
      <c r="E50" s="2104"/>
      <c r="F50" s="389" t="s">
        <v>640</v>
      </c>
    </row>
    <row r="51" spans="1:6" x14ac:dyDescent="0.35">
      <c r="A51" s="2102"/>
      <c r="B51" s="2102"/>
      <c r="C51" s="2103"/>
      <c r="D51" s="2103"/>
      <c r="E51" s="2104"/>
      <c r="F51" s="389" t="s">
        <v>640</v>
      </c>
    </row>
    <row r="52" spans="1:6" x14ac:dyDescent="0.35">
      <c r="A52" s="2102"/>
      <c r="B52" s="2102"/>
      <c r="C52" s="2103"/>
      <c r="D52" s="2103"/>
      <c r="E52" s="2104"/>
      <c r="F52" s="389" t="s">
        <v>640</v>
      </c>
    </row>
    <row r="53" spans="1:6" x14ac:dyDescent="0.35">
      <c r="A53" s="2102"/>
      <c r="B53" s="2102"/>
      <c r="C53" s="2103"/>
      <c r="D53" s="2103"/>
      <c r="E53" s="2104"/>
      <c r="F53" s="389" t="s">
        <v>640</v>
      </c>
    </row>
    <row r="54" spans="1:6" x14ac:dyDescent="0.35">
      <c r="A54" s="2102"/>
      <c r="B54" s="2102"/>
      <c r="C54" s="2103"/>
      <c r="D54" s="2103"/>
      <c r="E54" s="2104"/>
      <c r="F54" s="389" t="s">
        <v>640</v>
      </c>
    </row>
    <row r="55" spans="1:6" x14ac:dyDescent="0.35">
      <c r="A55" s="2102"/>
      <c r="B55" s="2102"/>
      <c r="C55" s="2103"/>
      <c r="D55" s="2103"/>
      <c r="E55" s="2104"/>
      <c r="F55" s="389" t="s">
        <v>640</v>
      </c>
    </row>
    <row r="56" spans="1:6" x14ac:dyDescent="0.35">
      <c r="A56" s="2102"/>
      <c r="B56" s="2102"/>
      <c r="C56" s="2103"/>
      <c r="D56" s="2103"/>
      <c r="E56" s="2104"/>
      <c r="F56" s="389" t="s">
        <v>640</v>
      </c>
    </row>
    <row r="57" spans="1:6" x14ac:dyDescent="0.35">
      <c r="A57" s="2102"/>
      <c r="B57" s="2102"/>
      <c r="C57" s="2103"/>
      <c r="D57" s="2103"/>
      <c r="E57" s="2104"/>
      <c r="F57" s="389" t="s">
        <v>640</v>
      </c>
    </row>
    <row r="58" spans="1:6" x14ac:dyDescent="0.35">
      <c r="A58" s="2102"/>
      <c r="B58" s="2102"/>
      <c r="C58" s="2103"/>
      <c r="D58" s="2103"/>
      <c r="E58" s="2104"/>
      <c r="F58" s="389" t="s">
        <v>640</v>
      </c>
    </row>
    <row r="59" spans="1:6" x14ac:dyDescent="0.35">
      <c r="A59" s="2102"/>
      <c r="B59" s="2102"/>
      <c r="C59" s="2103"/>
      <c r="D59" s="2103"/>
      <c r="E59" s="2104"/>
      <c r="F59" s="389" t="s">
        <v>640</v>
      </c>
    </row>
    <row r="60" spans="1:6" x14ac:dyDescent="0.35">
      <c r="A60" s="2102"/>
      <c r="B60" s="2102"/>
      <c r="C60" s="2103"/>
      <c r="D60" s="2103"/>
      <c r="E60" s="2104"/>
      <c r="F60" s="389" t="s">
        <v>640</v>
      </c>
    </row>
    <row r="61" spans="1:6" x14ac:dyDescent="0.35">
      <c r="A61" s="2102"/>
      <c r="B61" s="2102"/>
      <c r="C61" s="2103"/>
      <c r="D61" s="2103"/>
      <c r="E61" s="2104"/>
      <c r="F61" s="389" t="s">
        <v>640</v>
      </c>
    </row>
    <row r="62" spans="1:6" x14ac:dyDescent="0.35">
      <c r="A62" s="2102"/>
      <c r="B62" s="2102"/>
      <c r="C62" s="2103"/>
      <c r="D62" s="2103"/>
      <c r="E62" s="2104"/>
      <c r="F62" s="389" t="s">
        <v>640</v>
      </c>
    </row>
    <row r="63" spans="1:6" x14ac:dyDescent="0.35">
      <c r="A63" s="2102"/>
      <c r="B63" s="2102"/>
      <c r="C63" s="2103"/>
      <c r="D63" s="2103"/>
      <c r="E63" s="2104"/>
      <c r="F63" s="389" t="s">
        <v>640</v>
      </c>
    </row>
    <row r="64" spans="1:6" x14ac:dyDescent="0.35">
      <c r="A64" s="2102"/>
      <c r="B64" s="2102"/>
      <c r="C64" s="2103"/>
      <c r="D64" s="2103"/>
      <c r="E64" s="2104"/>
      <c r="F64" s="389" t="s">
        <v>640</v>
      </c>
    </row>
    <row r="65" spans="1:6" x14ac:dyDescent="0.35">
      <c r="A65" s="2102"/>
      <c r="B65" s="2102"/>
      <c r="C65" s="2103"/>
      <c r="D65" s="2103"/>
      <c r="E65" s="2104"/>
      <c r="F65" s="389" t="s">
        <v>640</v>
      </c>
    </row>
    <row r="66" spans="1:6" x14ac:dyDescent="0.35">
      <c r="A66" s="2102"/>
      <c r="B66" s="2102"/>
      <c r="C66" s="2103"/>
      <c r="D66" s="2103"/>
      <c r="E66" s="2104"/>
      <c r="F66" s="389" t="s">
        <v>640</v>
      </c>
    </row>
    <row r="67" spans="1:6" x14ac:dyDescent="0.35">
      <c r="A67" s="2102"/>
      <c r="B67" s="2102"/>
      <c r="C67" s="2103"/>
      <c r="D67" s="2103"/>
      <c r="E67" s="2104"/>
      <c r="F67" s="389" t="s">
        <v>640</v>
      </c>
    </row>
    <row r="68" spans="1:6" x14ac:dyDescent="0.35">
      <c r="A68" s="2102"/>
      <c r="B68" s="2102"/>
      <c r="C68" s="2103"/>
      <c r="D68" s="2103"/>
      <c r="E68" s="2104"/>
      <c r="F68" s="389" t="s">
        <v>640</v>
      </c>
    </row>
    <row r="69" spans="1:6" x14ac:dyDescent="0.35">
      <c r="A69" s="2102"/>
      <c r="B69" s="2102"/>
      <c r="C69" s="2103"/>
      <c r="D69" s="2103"/>
      <c r="E69" s="2104"/>
      <c r="F69" s="389" t="s">
        <v>640</v>
      </c>
    </row>
    <row r="70" spans="1:6" x14ac:dyDescent="0.35">
      <c r="A70" s="2102"/>
      <c r="B70" s="2102"/>
      <c r="C70" s="2103"/>
      <c r="D70" s="2103"/>
      <c r="E70" s="2104"/>
      <c r="F70" s="389" t="s">
        <v>640</v>
      </c>
    </row>
    <row r="71" spans="1:6" x14ac:dyDescent="0.35">
      <c r="A71" s="2102"/>
      <c r="B71" s="2102"/>
      <c r="C71" s="2103"/>
      <c r="D71" s="2103"/>
      <c r="E71" s="2104"/>
      <c r="F71" s="389" t="s">
        <v>640</v>
      </c>
    </row>
    <row r="72" spans="1:6" x14ac:dyDescent="0.35">
      <c r="A72" s="2102"/>
      <c r="B72" s="2102"/>
      <c r="C72" s="2103"/>
      <c r="D72" s="2103"/>
      <c r="E72" s="2104"/>
      <c r="F72" s="389" t="s">
        <v>640</v>
      </c>
    </row>
    <row r="73" spans="1:6" x14ac:dyDescent="0.35">
      <c r="A73" s="2102"/>
      <c r="B73" s="2102"/>
      <c r="C73" s="2103"/>
      <c r="D73" s="2103"/>
      <c r="E73" s="2104"/>
      <c r="F73" s="389" t="s">
        <v>640</v>
      </c>
    </row>
    <row r="74" spans="1:6" x14ac:dyDescent="0.35">
      <c r="A74" s="2102"/>
      <c r="B74" s="2102"/>
      <c r="C74" s="2103"/>
      <c r="D74" s="2103"/>
      <c r="E74" s="2104"/>
      <c r="F74" s="389" t="s">
        <v>640</v>
      </c>
    </row>
    <row r="75" spans="1:6" x14ac:dyDescent="0.35">
      <c r="A75" s="2102"/>
      <c r="B75" s="2102"/>
      <c r="C75" s="2103"/>
      <c r="D75" s="2103"/>
      <c r="E75" s="2104"/>
      <c r="F75" s="389" t="s">
        <v>640</v>
      </c>
    </row>
    <row r="76" spans="1:6" x14ac:dyDescent="0.35">
      <c r="A76" s="2102"/>
      <c r="B76" s="2102"/>
      <c r="C76" s="2103"/>
      <c r="D76" s="2103"/>
      <c r="E76" s="2104"/>
      <c r="F76" s="389" t="s">
        <v>640</v>
      </c>
    </row>
    <row r="77" spans="1:6" x14ac:dyDescent="0.35">
      <c r="A77" s="2102"/>
      <c r="B77" s="2102"/>
      <c r="C77" s="2103"/>
      <c r="D77" s="2103"/>
      <c r="E77" s="2104"/>
      <c r="F77" s="389" t="s">
        <v>640</v>
      </c>
    </row>
    <row r="78" spans="1:6" x14ac:dyDescent="0.35">
      <c r="A78" s="2102"/>
      <c r="B78" s="2102"/>
      <c r="C78" s="2103"/>
      <c r="D78" s="2103"/>
      <c r="E78" s="2104"/>
      <c r="F78" s="389" t="s">
        <v>640</v>
      </c>
    </row>
    <row r="79" spans="1:6" x14ac:dyDescent="0.35">
      <c r="A79" s="2102"/>
      <c r="B79" s="2102"/>
      <c r="C79" s="2103"/>
      <c r="D79" s="2103"/>
      <c r="E79" s="2104"/>
      <c r="F79" s="389" t="s">
        <v>640</v>
      </c>
    </row>
    <row r="80" spans="1:6" x14ac:dyDescent="0.35">
      <c r="A80" s="2102"/>
      <c r="B80" s="2102"/>
      <c r="C80" s="2103"/>
      <c r="D80" s="2103"/>
      <c r="E80" s="2104"/>
      <c r="F80" s="389" t="s">
        <v>640</v>
      </c>
    </row>
    <row r="81" spans="1:6" x14ac:dyDescent="0.35">
      <c r="A81" s="2102"/>
      <c r="B81" s="2102"/>
      <c r="C81" s="2103"/>
      <c r="D81" s="2103"/>
      <c r="E81" s="2104"/>
      <c r="F81" s="389" t="s">
        <v>640</v>
      </c>
    </row>
    <row r="82" spans="1:6" x14ac:dyDescent="0.35">
      <c r="A82" s="2102"/>
      <c r="B82" s="2102"/>
      <c r="C82" s="2103"/>
      <c r="D82" s="2103"/>
      <c r="E82" s="2104"/>
      <c r="F82" s="389" t="s">
        <v>640</v>
      </c>
    </row>
    <row r="83" spans="1:6" x14ac:dyDescent="0.35">
      <c r="A83" s="2102"/>
      <c r="B83" s="2102"/>
      <c r="C83" s="2103"/>
      <c r="D83" s="2103"/>
      <c r="E83" s="2104"/>
      <c r="F83" s="389" t="s">
        <v>640</v>
      </c>
    </row>
    <row r="84" spans="1:6" x14ac:dyDescent="0.35">
      <c r="A84" s="2102"/>
      <c r="B84" s="2102"/>
      <c r="C84" s="2103"/>
      <c r="D84" s="2103"/>
      <c r="E84" s="2104"/>
      <c r="F84" s="389" t="s">
        <v>640</v>
      </c>
    </row>
    <row r="85" spans="1:6" x14ac:dyDescent="0.35">
      <c r="A85" s="2102"/>
      <c r="B85" s="2102"/>
      <c r="C85" s="2103"/>
      <c r="D85" s="2103"/>
      <c r="E85" s="2104"/>
      <c r="F85" s="389" t="s">
        <v>640</v>
      </c>
    </row>
    <row r="86" spans="1:6" x14ac:dyDescent="0.35">
      <c r="A86" s="2102"/>
      <c r="B86" s="2102"/>
      <c r="C86" s="2103"/>
      <c r="D86" s="2103"/>
      <c r="E86" s="2104"/>
      <c r="F86" s="389" t="s">
        <v>640</v>
      </c>
    </row>
    <row r="87" spans="1:6" x14ac:dyDescent="0.35">
      <c r="A87" s="2102"/>
      <c r="B87" s="2102"/>
      <c r="C87" s="2103"/>
      <c r="D87" s="2103"/>
      <c r="E87" s="2104"/>
      <c r="F87" s="389" t="s">
        <v>640</v>
      </c>
    </row>
    <row r="88" spans="1:6" x14ac:dyDescent="0.35">
      <c r="A88" s="2102"/>
      <c r="B88" s="2102"/>
      <c r="C88" s="2103"/>
      <c r="D88" s="2103"/>
      <c r="E88" s="2104"/>
      <c r="F88" s="389" t="s">
        <v>640</v>
      </c>
    </row>
    <row r="89" spans="1:6" x14ac:dyDescent="0.35">
      <c r="A89" s="2102"/>
      <c r="B89" s="2102"/>
      <c r="C89" s="2103"/>
      <c r="D89" s="2103"/>
      <c r="E89" s="2104"/>
      <c r="F89" s="389" t="s">
        <v>640</v>
      </c>
    </row>
    <row r="90" spans="1:6" x14ac:dyDescent="0.35">
      <c r="A90" s="2102"/>
      <c r="B90" s="2102"/>
      <c r="C90" s="2103"/>
      <c r="D90" s="2103"/>
      <c r="E90" s="2104"/>
      <c r="F90" s="389" t="s">
        <v>640</v>
      </c>
    </row>
    <row r="91" spans="1:6" x14ac:dyDescent="0.35">
      <c r="A91" s="2102"/>
      <c r="B91" s="2102"/>
      <c r="C91" s="2103"/>
      <c r="D91" s="2103"/>
      <c r="E91" s="2104"/>
      <c r="F91" s="389" t="s">
        <v>640</v>
      </c>
    </row>
    <row r="92" spans="1:6" x14ac:dyDescent="0.35">
      <c r="A92" s="2102"/>
      <c r="B92" s="2102"/>
      <c r="C92" s="2103"/>
      <c r="D92" s="2103"/>
      <c r="E92" s="2104"/>
      <c r="F92" s="389" t="s">
        <v>640</v>
      </c>
    </row>
    <row r="93" spans="1:6" x14ac:dyDescent="0.35">
      <c r="A93" s="2102"/>
      <c r="B93" s="2102"/>
      <c r="C93" s="2103"/>
      <c r="D93" s="2103"/>
      <c r="E93" s="2104"/>
      <c r="F93" s="389" t="s">
        <v>640</v>
      </c>
    </row>
    <row r="94" spans="1:6" x14ac:dyDescent="0.35">
      <c r="A94" s="2102"/>
      <c r="B94" s="2102"/>
      <c r="C94" s="2103"/>
      <c r="D94" s="2103"/>
      <c r="E94" s="2104"/>
      <c r="F94" s="389" t="s">
        <v>640</v>
      </c>
    </row>
    <row r="95" spans="1:6" x14ac:dyDescent="0.35">
      <c r="A95" s="2102"/>
      <c r="B95" s="2102"/>
      <c r="C95" s="2103"/>
      <c r="D95" s="2103"/>
      <c r="E95" s="2104"/>
      <c r="F95" s="389" t="s">
        <v>640</v>
      </c>
    </row>
    <row r="96" spans="1:6" x14ac:dyDescent="0.35">
      <c r="A96" s="2102"/>
      <c r="B96" s="2102"/>
      <c r="C96" s="2103"/>
      <c r="D96" s="2103"/>
      <c r="E96" s="2104"/>
      <c r="F96" s="389" t="s">
        <v>640</v>
      </c>
    </row>
    <row r="97" spans="1:6" x14ac:dyDescent="0.35">
      <c r="A97" s="2102"/>
      <c r="B97" s="2102"/>
      <c r="C97" s="2103"/>
      <c r="D97" s="2103"/>
      <c r="E97" s="2104"/>
      <c r="F97" s="389" t="s">
        <v>640</v>
      </c>
    </row>
    <row r="98" spans="1:6" x14ac:dyDescent="0.35">
      <c r="A98" s="2102"/>
      <c r="B98" s="2102"/>
      <c r="C98" s="2103"/>
      <c r="D98" s="2103"/>
      <c r="E98" s="2104"/>
      <c r="F98" s="389" t="s">
        <v>640</v>
      </c>
    </row>
    <row r="99" spans="1:6" x14ac:dyDescent="0.35">
      <c r="A99" s="2102"/>
      <c r="B99" s="2102"/>
      <c r="C99" s="2103"/>
      <c r="D99" s="2103"/>
      <c r="E99" s="2104"/>
      <c r="F99" s="389" t="s">
        <v>640</v>
      </c>
    </row>
    <row r="100" spans="1:6" x14ac:dyDescent="0.35">
      <c r="A100" s="2102"/>
      <c r="B100" s="2102"/>
      <c r="C100" s="2103"/>
      <c r="D100" s="2103"/>
      <c r="E100" s="2104"/>
      <c r="F100" s="389" t="s">
        <v>640</v>
      </c>
    </row>
    <row r="101" spans="1:6" x14ac:dyDescent="0.35">
      <c r="A101" s="2102"/>
      <c r="B101" s="2102"/>
      <c r="C101" s="2103"/>
      <c r="D101" s="2103"/>
      <c r="E101" s="2104"/>
      <c r="F101" s="389" t="s">
        <v>640</v>
      </c>
    </row>
    <row r="102" spans="1:6" x14ac:dyDescent="0.35">
      <c r="A102" s="2102"/>
      <c r="B102" s="2102"/>
      <c r="C102" s="2103"/>
      <c r="D102" s="2103"/>
      <c r="E102" s="2104"/>
      <c r="F102" s="389" t="s">
        <v>640</v>
      </c>
    </row>
    <row r="103" spans="1:6" x14ac:dyDescent="0.35">
      <c r="A103" s="2102"/>
      <c r="B103" s="2102"/>
      <c r="C103" s="2103"/>
      <c r="D103" s="2103"/>
      <c r="E103" s="2104"/>
      <c r="F103" s="389" t="s">
        <v>640</v>
      </c>
    </row>
    <row r="104" spans="1:6" x14ac:dyDescent="0.35">
      <c r="A104" s="2102"/>
      <c r="B104" s="2102"/>
      <c r="C104" s="2103"/>
      <c r="D104" s="2103"/>
      <c r="E104" s="2104"/>
      <c r="F104" s="389" t="s">
        <v>640</v>
      </c>
    </row>
    <row r="105" spans="1:6" x14ac:dyDescent="0.35">
      <c r="A105" s="2102"/>
      <c r="B105" s="2102"/>
      <c r="C105" s="2103"/>
      <c r="D105" s="2103"/>
      <c r="E105" s="2104"/>
      <c r="F105" s="389" t="s">
        <v>640</v>
      </c>
    </row>
    <row r="106" spans="1:6" x14ac:dyDescent="0.35">
      <c r="A106" s="2102"/>
      <c r="B106" s="2102"/>
      <c r="C106" s="2103"/>
      <c r="D106" s="2103"/>
      <c r="E106" s="2104"/>
      <c r="F106" s="389" t="s">
        <v>640</v>
      </c>
    </row>
    <row r="107" spans="1:6" x14ac:dyDescent="0.35">
      <c r="A107" s="2102"/>
      <c r="B107" s="2102"/>
      <c r="C107" s="2103"/>
      <c r="D107" s="2103"/>
      <c r="E107" s="2104"/>
      <c r="F107" s="389" t="s">
        <v>640</v>
      </c>
    </row>
    <row r="108" spans="1:6" x14ac:dyDescent="0.35">
      <c r="A108" s="2102"/>
      <c r="B108" s="2102"/>
      <c r="C108" s="2103"/>
      <c r="D108" s="2103"/>
      <c r="E108" s="2104"/>
      <c r="F108" s="389" t="s">
        <v>640</v>
      </c>
    </row>
    <row r="109" spans="1:6" x14ac:dyDescent="0.35">
      <c r="A109" s="2102"/>
      <c r="B109" s="2102"/>
      <c r="C109" s="2103"/>
      <c r="D109" s="2103"/>
      <c r="E109" s="2104"/>
      <c r="F109" s="389" t="s">
        <v>640</v>
      </c>
    </row>
    <row r="110" spans="1:6" x14ac:dyDescent="0.35">
      <c r="A110" s="2102"/>
      <c r="B110" s="2102"/>
      <c r="C110" s="2103"/>
      <c r="D110" s="2103"/>
      <c r="E110" s="2104"/>
      <c r="F110" s="389" t="s">
        <v>640</v>
      </c>
    </row>
    <row r="111" spans="1:6" x14ac:dyDescent="0.35">
      <c r="A111" s="2102"/>
      <c r="B111" s="2102"/>
      <c r="C111" s="2103"/>
      <c r="D111" s="2103"/>
      <c r="E111" s="2104"/>
      <c r="F111" s="389" t="s">
        <v>640</v>
      </c>
    </row>
    <row r="112" spans="1:6" x14ac:dyDescent="0.35">
      <c r="A112" s="2102"/>
      <c r="B112" s="2102"/>
      <c r="C112" s="2103"/>
      <c r="D112" s="2103"/>
      <c r="E112" s="2104"/>
      <c r="F112" s="389" t="s">
        <v>640</v>
      </c>
    </row>
    <row r="113" spans="1:6" x14ac:dyDescent="0.35">
      <c r="A113" s="2102"/>
      <c r="B113" s="2102"/>
      <c r="C113" s="2103"/>
      <c r="D113" s="2103"/>
      <c r="E113" s="2104"/>
      <c r="F113" s="389" t="s">
        <v>640</v>
      </c>
    </row>
    <row r="114" spans="1:6" x14ac:dyDescent="0.35">
      <c r="A114" s="2102"/>
      <c r="B114" s="2102"/>
      <c r="C114" s="2103"/>
      <c r="D114" s="2103"/>
      <c r="E114" s="2104"/>
      <c r="F114" s="389" t="s">
        <v>640</v>
      </c>
    </row>
    <row r="115" spans="1:6" x14ac:dyDescent="0.35">
      <c r="A115" s="2102"/>
      <c r="B115" s="2102"/>
      <c r="C115" s="2103"/>
      <c r="D115" s="2103"/>
      <c r="E115" s="2104"/>
      <c r="F115" s="389" t="s">
        <v>640</v>
      </c>
    </row>
    <row r="116" spans="1:6" x14ac:dyDescent="0.35">
      <c r="A116" s="2102"/>
      <c r="B116" s="2102"/>
      <c r="C116" s="2103"/>
      <c r="D116" s="2103"/>
      <c r="E116" s="2104"/>
      <c r="F116" s="389" t="s">
        <v>640</v>
      </c>
    </row>
    <row r="117" spans="1:6" x14ac:dyDescent="0.35">
      <c r="A117" s="2102"/>
      <c r="B117" s="2102"/>
      <c r="C117" s="2103"/>
      <c r="D117" s="2103"/>
      <c r="E117" s="2104"/>
      <c r="F117" s="389" t="s">
        <v>640</v>
      </c>
    </row>
    <row r="118" spans="1:6" x14ac:dyDescent="0.35">
      <c r="A118" s="2102"/>
      <c r="B118" s="2102"/>
      <c r="C118" s="2103"/>
      <c r="D118" s="2103"/>
      <c r="E118" s="2104"/>
      <c r="F118" s="389" t="s">
        <v>640</v>
      </c>
    </row>
    <row r="119" spans="1:6" x14ac:dyDescent="0.35">
      <c r="A119" s="2102"/>
      <c r="B119" s="2102"/>
      <c r="C119" s="2103"/>
      <c r="D119" s="2103"/>
      <c r="E119" s="2104"/>
      <c r="F119" s="389" t="s">
        <v>640</v>
      </c>
    </row>
    <row r="120" spans="1:6" x14ac:dyDescent="0.35">
      <c r="A120" s="2102"/>
      <c r="B120" s="2102"/>
      <c r="C120" s="2103"/>
      <c r="D120" s="2103"/>
      <c r="E120" s="2104"/>
      <c r="F120" s="389" t="s">
        <v>640</v>
      </c>
    </row>
    <row r="121" spans="1:6" x14ac:dyDescent="0.35">
      <c r="A121" s="2102"/>
      <c r="B121" s="2102"/>
      <c r="C121" s="2103"/>
      <c r="D121" s="2103"/>
      <c r="E121" s="2104"/>
      <c r="F121" s="389" t="s">
        <v>640</v>
      </c>
    </row>
    <row r="122" spans="1:6" x14ac:dyDescent="0.35">
      <c r="A122" s="2102"/>
      <c r="B122" s="2102"/>
      <c r="C122" s="2103"/>
      <c r="D122" s="2103"/>
      <c r="E122" s="2104"/>
      <c r="F122" s="389" t="s">
        <v>640</v>
      </c>
    </row>
    <row r="123" spans="1:6" x14ac:dyDescent="0.35">
      <c r="A123" s="2102"/>
      <c r="B123" s="2102"/>
      <c r="C123" s="2103"/>
      <c r="D123" s="2103"/>
      <c r="E123" s="2104"/>
      <c r="F123" s="389" t="s">
        <v>640</v>
      </c>
    </row>
    <row r="124" spans="1:6" x14ac:dyDescent="0.35">
      <c r="A124" s="2102"/>
      <c r="B124" s="2102"/>
      <c r="C124" s="2103"/>
      <c r="D124" s="2103"/>
      <c r="E124" s="2104"/>
      <c r="F124" s="389" t="s">
        <v>640</v>
      </c>
    </row>
    <row r="125" spans="1:6" x14ac:dyDescent="0.35">
      <c r="A125" s="2102"/>
      <c r="B125" s="2102"/>
      <c r="C125" s="2103"/>
      <c r="D125" s="2103"/>
      <c r="E125" s="2104"/>
      <c r="F125" s="389" t="s">
        <v>640</v>
      </c>
    </row>
    <row r="126" spans="1:6" x14ac:dyDescent="0.35">
      <c r="A126" s="2102"/>
      <c r="B126" s="2102"/>
      <c r="C126" s="2103"/>
      <c r="D126" s="2103"/>
      <c r="E126" s="2104"/>
      <c r="F126" s="389" t="s">
        <v>640</v>
      </c>
    </row>
    <row r="127" spans="1:6" x14ac:dyDescent="0.35">
      <c r="A127" s="2102"/>
      <c r="B127" s="2102"/>
      <c r="C127" s="2103"/>
      <c r="D127" s="2103"/>
      <c r="E127" s="2104"/>
      <c r="F127" s="389" t="s">
        <v>640</v>
      </c>
    </row>
    <row r="128" spans="1:6" x14ac:dyDescent="0.35">
      <c r="A128" s="2102"/>
      <c r="B128" s="2102"/>
      <c r="C128" s="2103"/>
      <c r="D128" s="2103"/>
      <c r="E128" s="2104"/>
      <c r="F128" s="389" t="s">
        <v>640</v>
      </c>
    </row>
    <row r="129" spans="1:6" x14ac:dyDescent="0.35">
      <c r="A129" s="2102"/>
      <c r="B129" s="2102"/>
      <c r="C129" s="2103"/>
      <c r="D129" s="2103"/>
      <c r="E129" s="2104"/>
      <c r="F129" s="389" t="s">
        <v>640</v>
      </c>
    </row>
    <row r="130" spans="1:6" x14ac:dyDescent="0.35">
      <c r="A130" s="2102"/>
      <c r="B130" s="2102"/>
      <c r="C130" s="2103"/>
      <c r="D130" s="2103"/>
      <c r="E130" s="2104"/>
      <c r="F130" s="389" t="s">
        <v>640</v>
      </c>
    </row>
    <row r="131" spans="1:6" x14ac:dyDescent="0.35">
      <c r="A131" s="2102"/>
      <c r="B131" s="2102"/>
      <c r="C131" s="2103"/>
      <c r="D131" s="2103"/>
      <c r="E131" s="2104"/>
      <c r="F131" s="389" t="s">
        <v>640</v>
      </c>
    </row>
    <row r="132" spans="1:6" x14ac:dyDescent="0.35">
      <c r="A132" s="2102"/>
      <c r="B132" s="2102"/>
      <c r="C132" s="2103"/>
      <c r="D132" s="2103"/>
      <c r="E132" s="2104"/>
      <c r="F132" s="389" t="s">
        <v>640</v>
      </c>
    </row>
    <row r="133" spans="1:6" x14ac:dyDescent="0.35">
      <c r="A133" s="2102"/>
      <c r="B133" s="2102"/>
      <c r="C133" s="2103"/>
      <c r="D133" s="2103"/>
      <c r="E133" s="2104"/>
      <c r="F133" s="389" t="s">
        <v>640</v>
      </c>
    </row>
    <row r="134" spans="1:6" x14ac:dyDescent="0.35">
      <c r="A134" s="2102"/>
      <c r="B134" s="2102"/>
      <c r="C134" s="2103"/>
      <c r="D134" s="2103"/>
      <c r="E134" s="2104"/>
      <c r="F134" s="389" t="s">
        <v>640</v>
      </c>
    </row>
    <row r="135" spans="1:6" x14ac:dyDescent="0.35">
      <c r="A135" s="2102"/>
      <c r="B135" s="2102"/>
      <c r="C135" s="2103"/>
      <c r="D135" s="2103"/>
      <c r="E135" s="2104"/>
      <c r="F135" s="389" t="s">
        <v>640</v>
      </c>
    </row>
    <row r="136" spans="1:6" x14ac:dyDescent="0.35">
      <c r="A136" s="2102"/>
      <c r="B136" s="2102"/>
      <c r="C136" s="2103"/>
      <c r="D136" s="2103"/>
      <c r="E136" s="2104"/>
      <c r="F136" s="389" t="s">
        <v>640</v>
      </c>
    </row>
    <row r="137" spans="1:6" x14ac:dyDescent="0.35">
      <c r="A137" s="2102"/>
      <c r="B137" s="2102"/>
      <c r="C137" s="2103"/>
      <c r="D137" s="2103"/>
      <c r="E137" s="2104"/>
      <c r="F137" s="389" t="s">
        <v>640</v>
      </c>
    </row>
    <row r="138" spans="1:6" x14ac:dyDescent="0.35">
      <c r="A138" s="2102"/>
      <c r="B138" s="2102"/>
      <c r="C138" s="2103"/>
      <c r="D138" s="2103"/>
      <c r="E138" s="2104"/>
      <c r="F138" s="389" t="s">
        <v>640</v>
      </c>
    </row>
    <row r="139" spans="1:6" x14ac:dyDescent="0.35">
      <c r="A139" s="2102"/>
      <c r="B139" s="2102"/>
      <c r="C139" s="2103"/>
      <c r="D139" s="2103"/>
      <c r="E139" s="2104"/>
      <c r="F139" s="389" t="s">
        <v>640</v>
      </c>
    </row>
    <row r="140" spans="1:6" x14ac:dyDescent="0.35">
      <c r="A140" s="2102"/>
      <c r="B140" s="2102"/>
      <c r="C140" s="2103"/>
      <c r="D140" s="2103"/>
      <c r="E140" s="2104"/>
      <c r="F140" s="389" t="s">
        <v>640</v>
      </c>
    </row>
    <row r="141" spans="1:6" x14ac:dyDescent="0.35">
      <c r="A141" s="2102"/>
      <c r="B141" s="2102"/>
      <c r="C141" s="2103"/>
      <c r="D141" s="2103"/>
      <c r="E141" s="2104"/>
      <c r="F141" s="389" t="s">
        <v>640</v>
      </c>
    </row>
    <row r="142" spans="1:6" x14ac:dyDescent="0.35">
      <c r="A142" s="2102"/>
      <c r="B142" s="2102"/>
      <c r="C142" s="2103"/>
      <c r="D142" s="2103"/>
      <c r="E142" s="2104"/>
      <c r="F142" s="389" t="s">
        <v>640</v>
      </c>
    </row>
    <row r="143" spans="1:6" x14ac:dyDescent="0.35">
      <c r="A143" s="2102"/>
      <c r="B143" s="2102"/>
      <c r="C143" s="2103"/>
      <c r="D143" s="2103"/>
      <c r="E143" s="2104"/>
      <c r="F143" s="389" t="s">
        <v>640</v>
      </c>
    </row>
    <row r="144" spans="1:6" x14ac:dyDescent="0.35">
      <c r="A144" s="2102"/>
      <c r="B144" s="2102"/>
      <c r="C144" s="2103"/>
      <c r="D144" s="2103"/>
      <c r="E144" s="2104"/>
      <c r="F144" s="389" t="s">
        <v>640</v>
      </c>
    </row>
    <row r="145" spans="1:6" x14ac:dyDescent="0.35">
      <c r="A145" s="2102"/>
      <c r="B145" s="2102"/>
      <c r="C145" s="2103"/>
      <c r="D145" s="2103"/>
      <c r="E145" s="2104"/>
      <c r="F145" s="389" t="s">
        <v>640</v>
      </c>
    </row>
    <row r="146" spans="1:6" x14ac:dyDescent="0.35">
      <c r="A146" s="2102"/>
      <c r="B146" s="2102"/>
      <c r="C146" s="2103"/>
      <c r="D146" s="2103"/>
      <c r="E146" s="2104"/>
      <c r="F146" s="389" t="s">
        <v>640</v>
      </c>
    </row>
    <row r="147" spans="1:6" x14ac:dyDescent="0.35">
      <c r="A147" s="2102"/>
      <c r="B147" s="2102"/>
      <c r="C147" s="2103"/>
      <c r="D147" s="2103"/>
      <c r="E147" s="2104"/>
      <c r="F147" s="389" t="s">
        <v>640</v>
      </c>
    </row>
    <row r="148" spans="1:6" x14ac:dyDescent="0.35">
      <c r="A148" s="2102"/>
      <c r="B148" s="2102"/>
      <c r="C148" s="2103"/>
      <c r="D148" s="2103"/>
      <c r="E148" s="2104"/>
      <c r="F148" s="389" t="s">
        <v>640</v>
      </c>
    </row>
    <row r="149" spans="1:6" x14ac:dyDescent="0.35">
      <c r="A149" s="2102"/>
      <c r="B149" s="2102"/>
      <c r="C149" s="2103"/>
      <c r="D149" s="2103"/>
      <c r="E149" s="2104"/>
      <c r="F149" s="389" t="s">
        <v>640</v>
      </c>
    </row>
    <row r="150" spans="1:6" x14ac:dyDescent="0.35">
      <c r="A150" s="2102"/>
      <c r="B150" s="2102"/>
      <c r="C150" s="2103"/>
      <c r="D150" s="2103"/>
      <c r="E150" s="2104"/>
      <c r="F150" s="389" t="s">
        <v>640</v>
      </c>
    </row>
  </sheetData>
  <conditionalFormatting sqref="A7:F150">
    <cfRule type="expression" dxfId="9" priority="1">
      <formula>AND(NOT(ISBLANK($A7)),NOT(ISBLANK($B7)),OR(NOT(ISBLANK($C7)),NOT(ISBLANK($D7))),NOT(ISBLANK($E7)),$F7&lt;&gt;"Select One")</formula>
    </cfRule>
    <cfRule type="expression" dxfId="8" priority="2">
      <formula>NOT(ISBLANK($A7))</formula>
    </cfRule>
  </conditionalFormatting>
  <dataValidations count="1">
    <dataValidation type="list" allowBlank="1" showInputMessage="1" showErrorMessage="1" sqref="F7:F150" xr:uid="{62A717EC-951E-44F9-A9F9-19E3F52668D6}">
      <formula1>"Select One, Reclass for Presentation Purposes, Audit Adjustment"</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7CCA-DD5D-4C1E-8D41-FD2A03EDACB1}">
  <dimension ref="A1:N42"/>
  <sheetViews>
    <sheetView showGridLines="0" zoomScaleNormal="100" workbookViewId="0">
      <selection activeCell="J42" sqref="J42"/>
    </sheetView>
  </sheetViews>
  <sheetFormatPr defaultColWidth="9.1796875" defaultRowHeight="14.5" x14ac:dyDescent="0.35"/>
  <cols>
    <col min="1" max="1" width="74.1796875" style="1" bestFit="1" customWidth="1"/>
    <col min="2" max="2" width="19.26953125" style="1" bestFit="1" customWidth="1"/>
    <col min="3" max="3" width="19.54296875" style="1" customWidth="1"/>
    <col min="4" max="12" width="15.54296875" style="1" customWidth="1"/>
    <col min="13" max="13" width="19.26953125" style="1" customWidth="1"/>
    <col min="14" max="14" width="79.81640625" style="1" customWidth="1"/>
    <col min="15" max="16384" width="9.1796875" style="1"/>
  </cols>
  <sheetData>
    <row r="1" spans="1:14" s="21" customFormat="1" x14ac:dyDescent="0.35">
      <c r="A1" s="340" t="s">
        <v>823</v>
      </c>
    </row>
    <row r="2" spans="1:14" x14ac:dyDescent="0.35">
      <c r="A2" s="1614" t="s">
        <v>872</v>
      </c>
      <c r="B2" s="1615"/>
      <c r="C2" s="2105"/>
      <c r="D2" s="2105"/>
      <c r="E2" s="2105"/>
      <c r="F2" s="2105"/>
      <c r="G2" s="2105"/>
      <c r="H2" s="2105"/>
      <c r="I2" s="2105"/>
      <c r="J2" s="2105"/>
      <c r="K2" s="2105"/>
      <c r="L2" s="2105"/>
      <c r="M2" s="2106"/>
      <c r="N2" s="2107"/>
    </row>
    <row r="3" spans="1:14" x14ac:dyDescent="0.35">
      <c r="A3" s="341" t="str">
        <f>"Contractor Name: "&amp;'Instruction &amp; Audit Report B '!C20</f>
        <v>Contractor Name: Select Contractor Name</v>
      </c>
      <c r="B3" s="2107"/>
      <c r="C3" s="2107"/>
      <c r="D3" s="2107"/>
      <c r="E3" s="2107"/>
      <c r="F3" s="2107"/>
      <c r="G3" s="2107"/>
      <c r="H3" s="2107"/>
      <c r="I3" s="2107"/>
      <c r="J3" s="2107"/>
      <c r="K3" s="2107"/>
      <c r="L3" s="2107"/>
      <c r="M3" s="2107"/>
      <c r="N3" s="2107"/>
    </row>
    <row r="4" spans="1:14" ht="15" thickBot="1" x14ac:dyDescent="0.4">
      <c r="A4" s="2"/>
      <c r="B4" s="2"/>
      <c r="C4" s="2"/>
      <c r="D4" s="2"/>
      <c r="E4" s="2"/>
      <c r="F4" s="2"/>
      <c r="G4" s="2"/>
      <c r="H4" s="2"/>
      <c r="I4" s="2"/>
      <c r="J4" s="2"/>
      <c r="K4" s="2"/>
      <c r="L4" s="2"/>
      <c r="M4" s="2"/>
      <c r="N4" s="2"/>
    </row>
    <row r="5" spans="1:14" ht="15" thickBot="1" x14ac:dyDescent="0.4">
      <c r="A5" s="2311" t="str">
        <f>"Financial Viability Calculation Contract Year-To-Date "&amp;TEXT('Instruction &amp; Audit Report B '!$C$23,"yyyy")-1</f>
        <v>Financial Viability Calculation Contract Year-To-Date 2024</v>
      </c>
      <c r="B5" s="2312"/>
      <c r="C5" s="2312"/>
      <c r="D5" s="2312"/>
      <c r="E5" s="2312"/>
      <c r="F5" s="2312"/>
      <c r="G5" s="2312"/>
      <c r="H5" s="2312"/>
      <c r="I5" s="2312"/>
      <c r="J5" s="2312"/>
      <c r="K5" s="2312"/>
      <c r="L5" s="2312"/>
      <c r="M5" s="2313"/>
      <c r="N5" s="2"/>
    </row>
    <row r="6" spans="1:14" x14ac:dyDescent="0.35">
      <c r="A6" s="342"/>
      <c r="B6" s="2"/>
      <c r="C6" s="2"/>
      <c r="D6" s="2"/>
      <c r="E6" s="2"/>
      <c r="F6" s="2"/>
      <c r="G6" s="2"/>
      <c r="H6" s="2"/>
      <c r="I6" s="2"/>
      <c r="J6" s="2"/>
      <c r="K6" s="2"/>
      <c r="L6" s="2"/>
      <c r="M6" s="343"/>
      <c r="N6" s="2"/>
    </row>
    <row r="7" spans="1:14" ht="13.5" customHeight="1" thickBot="1" x14ac:dyDescent="0.4">
      <c r="A7" s="2"/>
      <c r="B7" s="344"/>
      <c r="C7" s="345"/>
      <c r="D7" s="2314" t="s">
        <v>873</v>
      </c>
      <c r="E7" s="2315"/>
      <c r="F7" s="2315"/>
      <c r="G7" s="2315"/>
      <c r="H7" s="2315" t="s">
        <v>874</v>
      </c>
      <c r="I7" s="2315"/>
      <c r="J7" s="2315"/>
      <c r="K7" s="2315"/>
      <c r="L7" s="21"/>
      <c r="M7" s="21"/>
      <c r="N7" s="2"/>
    </row>
    <row r="8" spans="1:14" ht="14.5" customHeight="1" x14ac:dyDescent="0.35">
      <c r="A8" s="2"/>
      <c r="B8" s="2316"/>
      <c r="C8" s="2318" t="s">
        <v>875</v>
      </c>
      <c r="D8" s="1761" t="s">
        <v>75</v>
      </c>
      <c r="E8" s="1764" t="s">
        <v>76</v>
      </c>
      <c r="F8" s="1764" t="s">
        <v>77</v>
      </c>
      <c r="G8" s="1886" t="s">
        <v>78</v>
      </c>
      <c r="H8" s="1873" t="s">
        <v>75</v>
      </c>
      <c r="I8" s="1874" t="s">
        <v>76</v>
      </c>
      <c r="J8" s="1874" t="s">
        <v>77</v>
      </c>
      <c r="K8" s="1875" t="s">
        <v>78</v>
      </c>
      <c r="L8" s="1436" t="s">
        <v>876</v>
      </c>
      <c r="M8" s="2320" t="s">
        <v>877</v>
      </c>
      <c r="N8" s="2"/>
    </row>
    <row r="9" spans="1:14" ht="30" customHeight="1" thickBot="1" x14ac:dyDescent="0.4">
      <c r="A9" s="346" t="s">
        <v>482</v>
      </c>
      <c r="B9" s="2317"/>
      <c r="C9" s="2319"/>
      <c r="D9" s="1762">
        <f>DATE(L9-1,12,31)</f>
        <v>45291</v>
      </c>
      <c r="E9" s="1763">
        <f>EOMONTH(D9,3)</f>
        <v>45382</v>
      </c>
      <c r="F9" s="1763">
        <f>EOMONTH(E9,3)</f>
        <v>45473</v>
      </c>
      <c r="G9" s="1880">
        <f>EOMONTH(F9,3)</f>
        <v>45565</v>
      </c>
      <c r="H9" s="1877">
        <f>D9</f>
        <v>45291</v>
      </c>
      <c r="I9" s="1878">
        <f>E9</f>
        <v>45382</v>
      </c>
      <c r="J9" s="1878">
        <f>F9</f>
        <v>45473</v>
      </c>
      <c r="K9" s="1879">
        <f>G9</f>
        <v>45565</v>
      </c>
      <c r="L9" s="1438" t="str">
        <f>RIGHT(A5,4)</f>
        <v>2024</v>
      </c>
      <c r="M9" s="2321"/>
      <c r="N9" s="2"/>
    </row>
    <row r="10" spans="1:14" x14ac:dyDescent="0.35">
      <c r="A10" s="347" t="s">
        <v>583</v>
      </c>
      <c r="B10" s="348">
        <v>100</v>
      </c>
      <c r="C10" s="1791">
        <v>0</v>
      </c>
      <c r="D10" s="1792">
        <f>IF('Instruction &amp; Audit Report B '!$C$22="mm/dd/yyyy",0,IF(MONTH('Instruction &amp; Audit Report B '!$C$22)=12,0,IF(MONTH('Instruction &amp; Audit Report B '!$C$22)=6,0,IF(MONTH('Instruction &amp; Audit Report B '!$C$22)=3,0,IF(MONTH('Instruction &amp; Audit Report B '!$C$22)=9,B10*0.25,"ERROR")))))</f>
        <v>0</v>
      </c>
      <c r="E10" s="1793">
        <f>IF('Instruction &amp; Audit Report B '!$C$22="mm/dd/yyyy",0,IF(MONTH('Instruction &amp; Audit Report B '!$C$22)=12,B10/4,IF(MONTH('Instruction &amp; Audit Report B '!$C$22)=6,0,IF(MONTH('Instruction &amp; Audit Report B '!$C$22)=3,0,IF(MONTH('Instruction &amp; Audit Report B '!$C$22)=9,B10*0.25,"ERROR")))))</f>
        <v>0</v>
      </c>
      <c r="F10" s="1793">
        <f>IF('Instruction &amp; Audit Report B '!$C$22="mm/dd/yyyy",0,IF(MONTH('Instruction &amp; Audit Report B '!$C$22)=12,B10/4,IF(MONTH('Instruction &amp; Audit Report B '!$C$22)=6,0,IF(MONTH('Instruction &amp; Audit Report B '!$C$22)=3,B10*0.25,IF(MONTH('Instruction &amp; Audit Report B '!$C$22)=9,B10*0.25,"ERROR")))))</f>
        <v>0</v>
      </c>
      <c r="G10" s="1881">
        <f>IF('Instruction &amp; Audit Report B '!$C$22="mm/dd/yyyy",0,IF(MONTH('Instruction &amp; Audit Report B '!$C$22)=12,B10/4,IF(MONTH('Instruction &amp; Audit Report B '!$C$22)=6,B10*0.25,IF(MONTH('Instruction &amp; Audit Report B '!$C$22)=6,B10*0.25,IF(MONTH('Instruction &amp; Audit Report B '!$C$22)=9,B10*0.25,"ERROR")))))</f>
        <v>0</v>
      </c>
      <c r="H10" s="1794">
        <v>0</v>
      </c>
      <c r="I10" s="1794">
        <v>0</v>
      </c>
      <c r="J10" s="1794">
        <v>0</v>
      </c>
      <c r="K10" s="1795">
        <v>0</v>
      </c>
      <c r="L10" s="1796">
        <f>SUM(D10:K10)</f>
        <v>0</v>
      </c>
      <c r="M10" s="349">
        <f>B10+L10</f>
        <v>100</v>
      </c>
      <c r="N10" s="2"/>
    </row>
    <row r="11" spans="1:14" x14ac:dyDescent="0.35">
      <c r="A11" s="350" t="s">
        <v>878</v>
      </c>
      <c r="B11" s="351">
        <v>0</v>
      </c>
      <c r="C11" s="1797">
        <v>0</v>
      </c>
      <c r="D11" s="1798">
        <f>IF('Instruction &amp; Audit Report B '!$C$22="mm/dd/yyyy",0,IF(MONTH('Instruction &amp; Audit Report B '!$C$22)=12,0,IF(MONTH('Instruction &amp; Audit Report B '!$C$22)=6,0,IF(MONTH('Instruction &amp; Audit Report B '!$C$22)=3,0,IF(MONTH('Instruction &amp; Audit Report B '!$C$22)=9,B11*0.25,"ERROR")))))</f>
        <v>0</v>
      </c>
      <c r="E11" s="1799">
        <f>IF('Instruction &amp; Audit Report B '!$C$22="mm/dd/yyyy",0,IF(MONTH('Instruction &amp; Audit Report B '!$C$22)=12,B11/4,IF(MONTH('Instruction &amp; Audit Report B '!$C$22)=6,0,IF(MONTH('Instruction &amp; Audit Report B '!$C$22)=3,0,IF(MONTH('Instruction &amp; Audit Report B '!$C$22)=9,B11*0.25,"ERROR")))))</f>
        <v>0</v>
      </c>
      <c r="F11" s="1799">
        <f>IF('Instruction &amp; Audit Report B '!$C$22="mm/dd/yyyy",0,IF(MONTH('Instruction &amp; Audit Report B '!$C$22)=12,B11/4,IF(MONTH('Instruction &amp; Audit Report B '!$C$22)=6,0,IF(MONTH('Instruction &amp; Audit Report B '!$C$22)=3,B11*0.25,IF(MONTH('Instruction &amp; Audit Report B '!$C$22)=9,B11*0.25,"ERROR")))))</f>
        <v>0</v>
      </c>
      <c r="G11" s="1882">
        <f>IF('Instruction &amp; Audit Report B '!$C$22="mm/dd/yyyy",0,IF(MONTH('Instruction &amp; Audit Report B '!$C$22)=12,B11/4,IF(MONTH('Instruction &amp; Audit Report B '!$C$22)=6,B11*0.25,IF(MONTH('Instruction &amp; Audit Report B '!$C$22)=6,B11*0.25,IF(MONTH('Instruction &amp; Audit Report B '!$C$22)=9,B11*0.25,"ERROR")))))</f>
        <v>0</v>
      </c>
      <c r="H11" s="1800">
        <v>0</v>
      </c>
      <c r="I11" s="1800">
        <v>0</v>
      </c>
      <c r="J11" s="1800">
        <v>0</v>
      </c>
      <c r="K11" s="1801">
        <v>0</v>
      </c>
      <c r="L11" s="1802">
        <f>SUM(D11:K11)</f>
        <v>0</v>
      </c>
      <c r="M11" s="352">
        <f>B11+L11</f>
        <v>0</v>
      </c>
      <c r="N11" s="2"/>
    </row>
    <row r="12" spans="1:14" x14ac:dyDescent="0.35">
      <c r="A12" s="350" t="s">
        <v>585</v>
      </c>
      <c r="B12" s="351">
        <v>0</v>
      </c>
      <c r="C12" s="1797">
        <v>0</v>
      </c>
      <c r="D12" s="1803">
        <f>IF('Instruction &amp; Audit Report B '!$C$22="mm/dd/yyyy",0,IF(MONTH('Instruction &amp; Audit Report B '!$C$22)=12,0,IF(MONTH('Instruction &amp; Audit Report B '!$C$22)=6,0,IF(MONTH('Instruction &amp; Audit Report B '!$C$22)=3,0,IF(MONTH('Instruction &amp; Audit Report B '!$C$22)=9,B12*0.25,"ERROR")))))</f>
        <v>0</v>
      </c>
      <c r="E12" s="1804">
        <f>IF('Instruction &amp; Audit Report B '!$C$22="mm/dd/yyyy",0,IF(MONTH('Instruction &amp; Audit Report B '!$C$22)=12,B12/4,IF(MONTH('Instruction &amp; Audit Report B '!$C$22)=6,0,IF(MONTH('Instruction &amp; Audit Report B '!$C$22)=3,0,IF(MONTH('Instruction &amp; Audit Report B '!$C$22)=9,B12*0.25,"ERROR")))))</f>
        <v>0</v>
      </c>
      <c r="F12" s="1804">
        <f>IF('Instruction &amp; Audit Report B '!$C$22="mm/dd/yyyy",0,IF(MONTH('Instruction &amp; Audit Report B '!$C$22)=12,B12/4,IF(MONTH('Instruction &amp; Audit Report B '!$C$22)=6,0,IF(MONTH('Instruction &amp; Audit Report B '!$C$22)=3,B12*0.25,IF(MONTH('Instruction &amp; Audit Report B '!$C$22)=9,B12*0.25,"ERROR")))))</f>
        <v>0</v>
      </c>
      <c r="G12" s="1883">
        <f>IF('Instruction &amp; Audit Report B '!$C$22="mm/dd/yyyy",0,IF(MONTH('Instruction &amp; Audit Report B '!$C$22)=12,B12/4,IF(MONTH('Instruction &amp; Audit Report B '!$C$22)=6,B12*0.25,IF(MONTH('Instruction &amp; Audit Report B '!$C$22)=6,B12*0.25,IF(MONTH('Instruction &amp; Audit Report B '!$C$22)=9,B12*0.25,"ERROR")))))</f>
        <v>0</v>
      </c>
      <c r="H12" s="1800">
        <v>0</v>
      </c>
      <c r="I12" s="1800">
        <v>0</v>
      </c>
      <c r="J12" s="1800">
        <v>0</v>
      </c>
      <c r="K12" s="1801">
        <v>0</v>
      </c>
      <c r="L12" s="1802">
        <f>SUM(D12:K12)</f>
        <v>0</v>
      </c>
      <c r="M12" s="352">
        <f>B12+L12</f>
        <v>0</v>
      </c>
      <c r="N12" s="2"/>
    </row>
    <row r="13" spans="1:14" x14ac:dyDescent="0.35">
      <c r="A13" s="353" t="s">
        <v>586</v>
      </c>
      <c r="B13" s="354">
        <f>B10-B11+B12</f>
        <v>100</v>
      </c>
      <c r="C13" s="1805"/>
      <c r="D13" s="1806"/>
      <c r="E13" s="1807"/>
      <c r="F13" s="1807"/>
      <c r="G13" s="1884"/>
      <c r="H13" s="1808"/>
      <c r="I13" s="1808"/>
      <c r="J13" s="1808"/>
      <c r="K13" s="1809"/>
      <c r="L13" s="1810"/>
      <c r="M13" s="355">
        <f>M10-M11+M12</f>
        <v>100</v>
      </c>
      <c r="N13" s="2"/>
    </row>
    <row r="14" spans="1:14" ht="15" thickBot="1" x14ac:dyDescent="0.4">
      <c r="A14" s="356" t="s">
        <v>587</v>
      </c>
      <c r="B14" s="357">
        <v>0</v>
      </c>
      <c r="C14" s="1811">
        <v>0</v>
      </c>
      <c r="D14" s="2108">
        <f>IF('Instruction &amp; Audit Report B '!$C$22="mm/dd/yyyy",0,IF(MONTH('Instruction &amp; Audit Report B '!$C$22)=12,0,IF(MONTH('Instruction &amp; Audit Report B '!$C$22)=6,0,IF(MONTH('Instruction &amp; Audit Report B '!$C$22)=3,0,IF(MONTH('Instruction &amp; Audit Report B '!$C$22)=9,B14*0.25,"ERROR")))))</f>
        <v>0</v>
      </c>
      <c r="E14" s="2109">
        <f>IF('Instruction &amp; Audit Report B '!$C$22="mm/dd/yyyy",0,IF(MONTH('Instruction &amp; Audit Report B '!$C$22)=12,B14/4,IF(MONTH('Instruction &amp; Audit Report B '!$C$22)=6,0,IF(MONTH('Instruction &amp; Audit Report B '!$C$22)=3,0,IF(MONTH('Instruction &amp; Audit Report B '!$C$22)=9,B14*0.25,"ERROR")))))</f>
        <v>0</v>
      </c>
      <c r="F14" s="2109">
        <f>IF('Instruction &amp; Audit Report B '!$C$22="mm/dd/yyyy",0,IF(MONTH('Instruction &amp; Audit Report B '!$C$22)=12,B14/4,IF(MONTH('Instruction &amp; Audit Report B '!$C$22)=6,0,IF(MONTH('Instruction &amp; Audit Report B '!$C$22)=3,B14*0.25,IF(MONTH('Instruction &amp; Audit Report B '!$C$22)=9,B14*0.25,"ERROR")))))</f>
        <v>0</v>
      </c>
      <c r="G14" s="2110">
        <f>IF('Instruction &amp; Audit Report B '!$C$22="mm/dd/yyyy",0,IF(MONTH('Instruction &amp; Audit Report B '!$C$22)=12,B14/4,IF(MONTH('Instruction &amp; Audit Report B '!$C$22)=6,B14*0.25,IF(MONTH('Instruction &amp; Audit Report B '!$C$22)=6,B14*0.25,IF(MONTH('Instruction &amp; Audit Report B '!$C$22)=9,B14*0.25,"ERROR")))))</f>
        <v>0</v>
      </c>
      <c r="H14" s="1812">
        <v>0</v>
      </c>
      <c r="I14" s="1812">
        <v>0</v>
      </c>
      <c r="J14" s="1812">
        <v>0</v>
      </c>
      <c r="K14" s="1813">
        <v>0</v>
      </c>
      <c r="L14" s="1802">
        <f>SUM(D14:K14)</f>
        <v>0</v>
      </c>
      <c r="M14" s="358">
        <f>B14+L14</f>
        <v>0</v>
      </c>
      <c r="N14" s="2"/>
    </row>
    <row r="15" spans="1:14" ht="15" thickBot="1" x14ac:dyDescent="0.4">
      <c r="A15" s="1616" t="s">
        <v>588</v>
      </c>
      <c r="B15" s="1617">
        <f>IF(OR(B13=0,B14=0),0,ROUND(B13/B14,2))</f>
        <v>0</v>
      </c>
      <c r="C15" s="1814"/>
      <c r="D15" s="1815"/>
      <c r="E15" s="1816"/>
      <c r="F15" s="1816"/>
      <c r="G15" s="1885"/>
      <c r="H15" s="1818"/>
      <c r="I15" s="1818"/>
      <c r="J15" s="1818"/>
      <c r="K15" s="1819"/>
      <c r="L15" s="1817"/>
      <c r="M15" s="1618">
        <f>IF(OR(M13=0,M14=0),0,ROUND(M13/M14,2))</f>
        <v>0</v>
      </c>
      <c r="N15" s="2" t="str">
        <f>IF(M15=0,"",IF(M15&lt; 1,"Warning! Ratio is noncompliant with financial viability standard.  Corrective action required", " "))</f>
        <v/>
      </c>
    </row>
    <row r="16" spans="1:14" x14ac:dyDescent="0.35">
      <c r="A16" s="2107"/>
      <c r="B16" s="2107"/>
      <c r="C16" s="2111"/>
      <c r="D16" s="2111"/>
      <c r="E16" s="2111"/>
      <c r="F16" s="2111"/>
      <c r="G16" s="2111"/>
      <c r="H16" s="2111"/>
      <c r="I16" s="2111"/>
      <c r="J16" s="2111"/>
      <c r="K16" s="2111"/>
      <c r="L16" s="2111"/>
      <c r="M16" s="2107"/>
      <c r="N16" s="2107"/>
    </row>
    <row r="17" spans="1:14" ht="15.75" customHeight="1" thickBot="1" x14ac:dyDescent="0.4">
      <c r="A17" s="346" t="str">
        <f>IF(_xlfn.TEXTAFTER($A$3,": ")="DES-DDD","Equity Per Member - Standard not required for DES-DDD", "Equity Per Member")</f>
        <v>Equity Per Member</v>
      </c>
      <c r="B17" s="2"/>
      <c r="C17" s="1820"/>
      <c r="D17" s="1821"/>
      <c r="E17" s="1821"/>
      <c r="F17" s="1821"/>
      <c r="G17" s="1821"/>
      <c r="H17" s="1822"/>
      <c r="I17" s="1822"/>
      <c r="J17" s="1822"/>
      <c r="K17" s="1822"/>
      <c r="L17" s="1823"/>
      <c r="M17" s="21"/>
      <c r="N17" s="2"/>
    </row>
    <row r="18" spans="1:14" x14ac:dyDescent="0.35">
      <c r="A18" s="359" t="s">
        <v>589</v>
      </c>
      <c r="B18" s="360">
        <v>0</v>
      </c>
      <c r="C18" s="1824">
        <v>0</v>
      </c>
      <c r="D18" s="1792">
        <f>IF('Instruction &amp; Audit Report B '!$C$22="mm/dd/yyyy",0,IF(MONTH('Instruction &amp; Audit Report B '!$C$22)=12,0,IF(MONTH('Instruction &amp; Audit Report B '!$C$22)=6,0,IF(MONTH('Instruction &amp; Audit Report B '!$C$22)=3,0,IF(MONTH('Instruction &amp; Audit Report B '!$C$22)=9,B18*0.25,"ERROR")))))</f>
        <v>0</v>
      </c>
      <c r="E18" s="1793">
        <f>IF('Instruction &amp; Audit Report B '!$C$22="mm/dd/yyyy",0,IF(MONTH('Instruction &amp; Audit Report B '!$C$22)=12,B18/4,IF(MONTH('Instruction &amp; Audit Report B '!$C$22)=6,0,IF(MONTH('Instruction &amp; Audit Report B '!$C$22)=3,0,IF(MONTH('Instruction &amp; Audit Report B '!$C$22)=9,B18*0.25,"ERROR")))))</f>
        <v>0</v>
      </c>
      <c r="F18" s="1793">
        <f>IF('Instruction &amp; Audit Report B '!$C$22="mm/dd/yyyy",0,IF(MONTH('Instruction &amp; Audit Report B '!$C$22)=12,B18/4,IF(MONTH('Instruction &amp; Audit Report B '!$C$22)=6,0,IF(MONTH('Instruction &amp; Audit Report B '!$C$22)=3,B18*0.25,IF(MONTH('Instruction &amp; Audit Report B '!$C$22)=9,B18*0.25,"ERROR")))))</f>
        <v>0</v>
      </c>
      <c r="G18" s="1881">
        <f>IF('Instruction &amp; Audit Report B '!$C$22="mm/dd/yyyy",0,IF(MONTH('Instruction &amp; Audit Report B '!$C$22)=12,B18/4,IF(MONTH('Instruction &amp; Audit Report B '!$C$22)=6,B18*0.25,IF(MONTH('Instruction &amp; Audit Report B '!$C$22)=6,B18*0.25,IF(MONTH('Instruction &amp; Audit Report B '!$C$22)=9,B18*0.25,"ERROR")))))</f>
        <v>0</v>
      </c>
      <c r="H18" s="1794">
        <v>0</v>
      </c>
      <c r="I18" s="1794">
        <v>0</v>
      </c>
      <c r="J18" s="1794">
        <v>0</v>
      </c>
      <c r="K18" s="1794">
        <v>0</v>
      </c>
      <c r="L18" s="1825">
        <f t="shared" ref="L18:L24" si="0">SUM(D18:K18)</f>
        <v>0</v>
      </c>
      <c r="M18" s="361">
        <f t="shared" ref="M18:M24" si="1">B18+L18</f>
        <v>0</v>
      </c>
      <c r="N18" s="2"/>
    </row>
    <row r="19" spans="1:14" x14ac:dyDescent="0.35">
      <c r="A19" s="362" t="s">
        <v>879</v>
      </c>
      <c r="B19" s="351">
        <v>0</v>
      </c>
      <c r="C19" s="1826">
        <v>0</v>
      </c>
      <c r="D19" s="1798">
        <f>IF('Instruction &amp; Audit Report B '!$C$22="mm/dd/yyyy",0,IF(MONTH('Instruction &amp; Audit Report B '!$C$22)=12,0,IF(MONTH('Instruction &amp; Audit Report B '!$C$22)=6,0,IF(MONTH('Instruction &amp; Audit Report B '!$C$22)=3,0,IF(MONTH('Instruction &amp; Audit Report B '!$C$22)=9,B19*0.25,"ERROR")))))</f>
        <v>0</v>
      </c>
      <c r="E19" s="1799">
        <f>IF('Instruction &amp; Audit Report B '!$C$22="mm/dd/yyyy",0,IF(MONTH('Instruction &amp; Audit Report B '!$C$22)=12,B19/4,IF(MONTH('Instruction &amp; Audit Report B '!$C$22)=6,0,IF(MONTH('Instruction &amp; Audit Report B '!$C$22)=3,0,IF(MONTH('Instruction &amp; Audit Report B '!$C$22)=9,B19*0.25,"ERROR")))))</f>
        <v>0</v>
      </c>
      <c r="F19" s="1799">
        <f>IF('Instruction &amp; Audit Report B '!$C$22="mm/dd/yyyy",0,IF(MONTH('Instruction &amp; Audit Report B '!$C$22)=12,B19/4,IF(MONTH('Instruction &amp; Audit Report B '!$C$22)=6,0,IF(MONTH('Instruction &amp; Audit Report B '!$C$22)=3,B19*0.25,IF(MONTH('Instruction &amp; Audit Report B '!$C$22)=9,B19*0.25,"ERROR")))))</f>
        <v>0</v>
      </c>
      <c r="G19" s="1882">
        <f>IF('Instruction &amp; Audit Report B '!$C$22="mm/dd/yyyy",0,IF(MONTH('Instruction &amp; Audit Report B '!$C$22)=12,B19/4,IF(MONTH('Instruction &amp; Audit Report B '!$C$22)=6,B19*0.25,IF(MONTH('Instruction &amp; Audit Report B '!$C$22)=6,B19*0.25,IF(MONTH('Instruction &amp; Audit Report B '!$C$22)=9,B19*0.25,"ERROR")))))</f>
        <v>0</v>
      </c>
      <c r="H19" s="1800">
        <v>0</v>
      </c>
      <c r="I19" s="1800">
        <v>0</v>
      </c>
      <c r="J19" s="1800">
        <v>0</v>
      </c>
      <c r="K19" s="1800">
        <v>0</v>
      </c>
      <c r="L19" s="1827">
        <f t="shared" si="0"/>
        <v>0</v>
      </c>
      <c r="M19" s="363">
        <f t="shared" si="1"/>
        <v>0</v>
      </c>
      <c r="N19" s="2"/>
    </row>
    <row r="20" spans="1:14" x14ac:dyDescent="0.35">
      <c r="A20" s="362" t="s">
        <v>591</v>
      </c>
      <c r="B20" s="351">
        <v>0</v>
      </c>
      <c r="C20" s="1826">
        <v>0</v>
      </c>
      <c r="D20" s="1798">
        <f>IF('Instruction &amp; Audit Report B '!$C$22="mm/dd/yyyy",0,IF(MONTH('Instruction &amp; Audit Report B '!$C$22)=12,0,IF(MONTH('Instruction &amp; Audit Report B '!$C$22)=6,0,IF(MONTH('Instruction &amp; Audit Report B '!$C$22)=3,0,IF(MONTH('Instruction &amp; Audit Report B '!$C$22)=9,B20*0.25,"ERROR")))))</f>
        <v>0</v>
      </c>
      <c r="E20" s="1799">
        <f>IF('Instruction &amp; Audit Report B '!$C$22="mm/dd/yyyy",0,IF(MONTH('Instruction &amp; Audit Report B '!$C$22)=12,B20/4,IF(MONTH('Instruction &amp; Audit Report B '!$C$22)=6,0,IF(MONTH('Instruction &amp; Audit Report B '!$C$22)=3,0,IF(MONTH('Instruction &amp; Audit Report B '!$C$22)=9,B20*0.25,"ERROR")))))</f>
        <v>0</v>
      </c>
      <c r="F20" s="1799">
        <f>IF('Instruction &amp; Audit Report B '!$C$22="mm/dd/yyyy",0,IF(MONTH('Instruction &amp; Audit Report B '!$C$22)=12,B20/4,IF(MONTH('Instruction &amp; Audit Report B '!$C$22)=6,0,IF(MONTH('Instruction &amp; Audit Report B '!$C$22)=3,B20*0.25,IF(MONTH('Instruction &amp; Audit Report B '!$C$22)=9,B20*0.25,"ERROR")))))</f>
        <v>0</v>
      </c>
      <c r="G20" s="1882">
        <f>IF('Instruction &amp; Audit Report B '!$C$22="mm/dd/yyyy",0,IF(MONTH('Instruction &amp; Audit Report B '!$C$22)=12,B20/4,IF(MONTH('Instruction &amp; Audit Report B '!$C$22)=6,B20*0.25,IF(MONTH('Instruction &amp; Audit Report B '!$C$22)=6,B20*0.25,IF(MONTH('Instruction &amp; Audit Report B '!$C$22)=9,B20*0.25,"ERROR")))))</f>
        <v>0</v>
      </c>
      <c r="H20" s="1800">
        <v>0</v>
      </c>
      <c r="I20" s="1800">
        <v>0</v>
      </c>
      <c r="J20" s="1800">
        <v>0</v>
      </c>
      <c r="K20" s="1800">
        <v>0</v>
      </c>
      <c r="L20" s="1827">
        <f t="shared" si="0"/>
        <v>0</v>
      </c>
      <c r="M20" s="363">
        <f t="shared" si="1"/>
        <v>0</v>
      </c>
      <c r="N20" s="2"/>
    </row>
    <row r="21" spans="1:14" x14ac:dyDescent="0.35">
      <c r="A21" s="362" t="s">
        <v>592</v>
      </c>
      <c r="B21" s="351">
        <v>0</v>
      </c>
      <c r="C21" s="1826">
        <v>0</v>
      </c>
      <c r="D21" s="1798">
        <f>IF('Instruction &amp; Audit Report B '!$C$22="mm/dd/yyyy",0,IF(MONTH('Instruction &amp; Audit Report B '!$C$22)=12,0,IF(MONTH('Instruction &amp; Audit Report B '!$C$22)=6,0,IF(MONTH('Instruction &amp; Audit Report B '!$C$22)=3,0,IF(MONTH('Instruction &amp; Audit Report B '!$C$22)=9,B21*0.25,"ERROR")))))</f>
        <v>0</v>
      </c>
      <c r="E21" s="1799">
        <f>IF('Instruction &amp; Audit Report B '!$C$22="mm/dd/yyyy",0,IF(MONTH('Instruction &amp; Audit Report B '!$C$22)=12,B21/4,IF(MONTH('Instruction &amp; Audit Report B '!$C$22)=6,0,IF(MONTH('Instruction &amp; Audit Report B '!$C$22)=3,0,IF(MONTH('Instruction &amp; Audit Report B '!$C$22)=9,B21*0.25,"ERROR")))))</f>
        <v>0</v>
      </c>
      <c r="F21" s="1799">
        <f>IF('Instruction &amp; Audit Report B '!$C$22="mm/dd/yyyy",0,IF(MONTH('Instruction &amp; Audit Report B '!$C$22)=12,B21/4,IF(MONTH('Instruction &amp; Audit Report B '!$C$22)=6,0,IF(MONTH('Instruction &amp; Audit Report B '!$C$22)=3,B21*0.25,IF(MONTH('Instruction &amp; Audit Report B '!$C$22)=9,B21*0.25,"ERROR")))))</f>
        <v>0</v>
      </c>
      <c r="G21" s="1882">
        <f>IF('Instruction &amp; Audit Report B '!$C$22="mm/dd/yyyy",0,IF(MONTH('Instruction &amp; Audit Report B '!$C$22)=12,B21/4,IF(MONTH('Instruction &amp; Audit Report B '!$C$22)=6,B21*0.25,IF(MONTH('Instruction &amp; Audit Report B '!$C$22)=6,B21*0.25,IF(MONTH('Instruction &amp; Audit Report B '!$C$22)=9,B21*0.25,"ERROR")))))</f>
        <v>0</v>
      </c>
      <c r="H21" s="1800">
        <v>0</v>
      </c>
      <c r="I21" s="1800">
        <v>0</v>
      </c>
      <c r="J21" s="1800">
        <v>0</v>
      </c>
      <c r="K21" s="1800">
        <v>0</v>
      </c>
      <c r="L21" s="1827">
        <f t="shared" si="0"/>
        <v>0</v>
      </c>
      <c r="M21" s="363">
        <f t="shared" si="1"/>
        <v>0</v>
      </c>
      <c r="N21" s="2"/>
    </row>
    <row r="22" spans="1:14" x14ac:dyDescent="0.35">
      <c r="A22" s="362" t="s">
        <v>593</v>
      </c>
      <c r="B22" s="351">
        <v>0</v>
      </c>
      <c r="C22" s="1826">
        <v>0</v>
      </c>
      <c r="D22" s="1798">
        <f>IF('Instruction &amp; Audit Report B '!$C$22="mm/dd/yyyy",0,IF(MONTH('Instruction &amp; Audit Report B '!$C$22)=12,0,IF(MONTH('Instruction &amp; Audit Report B '!$C$22)=6,0,IF(MONTH('Instruction &amp; Audit Report B '!$C$22)=3,0,IF(MONTH('Instruction &amp; Audit Report B '!$C$22)=9,B22*0.25,"ERROR")))))</f>
        <v>0</v>
      </c>
      <c r="E22" s="1799">
        <f>IF('Instruction &amp; Audit Report B '!$C$22="mm/dd/yyyy",0,IF(MONTH('Instruction &amp; Audit Report B '!$C$22)=12,B22/4,IF(MONTH('Instruction &amp; Audit Report B '!$C$22)=6,0,IF(MONTH('Instruction &amp; Audit Report B '!$C$22)=3,0,IF(MONTH('Instruction &amp; Audit Report B '!$C$22)=9,B22*0.25,"ERROR")))))</f>
        <v>0</v>
      </c>
      <c r="F22" s="1799">
        <f>IF('Instruction &amp; Audit Report B '!$C$22="mm/dd/yyyy",0,IF(MONTH('Instruction &amp; Audit Report B '!$C$22)=12,B22/4,IF(MONTH('Instruction &amp; Audit Report B '!$C$22)=6,0,IF(MONTH('Instruction &amp; Audit Report B '!$C$22)=3,B22*0.25,IF(MONTH('Instruction &amp; Audit Report B '!$C$22)=9,B22*0.25,"ERROR")))))</f>
        <v>0</v>
      </c>
      <c r="G22" s="1882">
        <f>IF('Instruction &amp; Audit Report B '!$C$22="mm/dd/yyyy",0,IF(MONTH('Instruction &amp; Audit Report B '!$C$22)=12,B22/4,IF(MONTH('Instruction &amp; Audit Report B '!$C$22)=6,B22*0.25,IF(MONTH('Instruction &amp; Audit Report B '!$C$22)=6,B22*0.25,IF(MONTH('Instruction &amp; Audit Report B '!$C$22)=9,B22*0.25,"ERROR")))))</f>
        <v>0</v>
      </c>
      <c r="H22" s="1800">
        <v>0</v>
      </c>
      <c r="I22" s="1800">
        <v>0</v>
      </c>
      <c r="J22" s="1800">
        <v>0</v>
      </c>
      <c r="K22" s="1800">
        <v>0</v>
      </c>
      <c r="L22" s="1827">
        <f t="shared" si="0"/>
        <v>0</v>
      </c>
      <c r="M22" s="363">
        <f t="shared" si="1"/>
        <v>0</v>
      </c>
      <c r="N22" s="2"/>
    </row>
    <row r="23" spans="1:14" x14ac:dyDescent="0.35">
      <c r="A23" s="362" t="s">
        <v>880</v>
      </c>
      <c r="B23" s="351">
        <v>0</v>
      </c>
      <c r="C23" s="1826">
        <v>0</v>
      </c>
      <c r="D23" s="1798">
        <f>IF('Instruction &amp; Audit Report B '!$C$22="mm/dd/yyyy",0,IF(MONTH('Instruction &amp; Audit Report B '!$C$22)=12,0,IF(MONTH('Instruction &amp; Audit Report B '!$C$22)=6,0,IF(MONTH('Instruction &amp; Audit Report B '!$C$22)=3,0,IF(MONTH('Instruction &amp; Audit Report B '!$C$22)=9,B23*0.25,"ERROR")))))</f>
        <v>0</v>
      </c>
      <c r="E23" s="1799">
        <f>IF('Instruction &amp; Audit Report B '!$C$22="mm/dd/yyyy",0,IF(MONTH('Instruction &amp; Audit Report B '!$C$22)=12,B23/4,IF(MONTH('Instruction &amp; Audit Report B '!$C$22)=6,0,IF(MONTH('Instruction &amp; Audit Report B '!$C$22)=3,0,IF(MONTH('Instruction &amp; Audit Report B '!$C$22)=9,B23*0.25,"ERROR")))))</f>
        <v>0</v>
      </c>
      <c r="F23" s="1799">
        <f>IF('Instruction &amp; Audit Report B '!$C$22="mm/dd/yyyy",0,IF(MONTH('Instruction &amp; Audit Report B '!$C$22)=12,B23/4,IF(MONTH('Instruction &amp; Audit Report B '!$C$22)=6,0,IF(MONTH('Instruction &amp; Audit Report B '!$C$22)=3,B23*0.25,IF(MONTH('Instruction &amp; Audit Report B '!$C$22)=9,B23*0.25,"ERROR")))))</f>
        <v>0</v>
      </c>
      <c r="G23" s="1882">
        <f>IF('Instruction &amp; Audit Report B '!$C$22="mm/dd/yyyy",0,IF(MONTH('Instruction &amp; Audit Report B '!$C$22)=12,B23/4,IF(MONTH('Instruction &amp; Audit Report B '!$C$22)=6,B23*0.25,IF(MONTH('Instruction &amp; Audit Report B '!$C$22)=6,B23*0.25,IF(MONTH('Instruction &amp; Audit Report B '!$C$22)=9,B23*0.25,"ERROR")))))</f>
        <v>0</v>
      </c>
      <c r="H23" s="1800">
        <v>0</v>
      </c>
      <c r="I23" s="1800">
        <v>0</v>
      </c>
      <c r="J23" s="1800">
        <v>0</v>
      </c>
      <c r="K23" s="1800">
        <v>0</v>
      </c>
      <c r="L23" s="1827">
        <f t="shared" si="0"/>
        <v>0</v>
      </c>
      <c r="M23" s="363">
        <f t="shared" si="1"/>
        <v>0</v>
      </c>
      <c r="N23" s="2"/>
    </row>
    <row r="24" spans="1:14" x14ac:dyDescent="0.35">
      <c r="A24" s="362" t="s">
        <v>595</v>
      </c>
      <c r="B24" s="351">
        <v>0</v>
      </c>
      <c r="C24" s="1826">
        <v>0</v>
      </c>
      <c r="D24" s="1798">
        <f>IF('Instruction &amp; Audit Report B '!$C$22="mm/dd/yyyy",0,IF(MONTH('Instruction &amp; Audit Report B '!$C$22)=12,0,IF(MONTH('Instruction &amp; Audit Report B '!$C$22)=6,0,IF(MONTH('Instruction &amp; Audit Report B '!$C$22)=3,0,IF(MONTH('Instruction &amp; Audit Report B '!$C$22)=9,B24*0.25,"ERROR")))))</f>
        <v>0</v>
      </c>
      <c r="E24" s="1799">
        <f>IF('Instruction &amp; Audit Report B '!$C$22="mm/dd/yyyy",0,IF(MONTH('Instruction &amp; Audit Report B '!$C$22)=12,B24/4,IF(MONTH('Instruction &amp; Audit Report B '!$C$22)=6,0,IF(MONTH('Instruction &amp; Audit Report B '!$C$22)=3,0,IF(MONTH('Instruction &amp; Audit Report B '!$C$22)=9,B24*0.25,"ERROR")))))</f>
        <v>0</v>
      </c>
      <c r="F24" s="1799">
        <f>IF('Instruction &amp; Audit Report B '!$C$22="mm/dd/yyyy",0,IF(MONTH('Instruction &amp; Audit Report B '!$C$22)=12,B24/4,IF(MONTH('Instruction &amp; Audit Report B '!$C$22)=6,0,IF(MONTH('Instruction &amp; Audit Report B '!$C$22)=3,B24*0.25,IF(MONTH('Instruction &amp; Audit Report B '!$C$22)=9,B24*0.25,"ERROR")))))</f>
        <v>0</v>
      </c>
      <c r="G24" s="1882">
        <f>IF('Instruction &amp; Audit Report B '!$C$22="mm/dd/yyyy",0,IF(MONTH('Instruction &amp; Audit Report B '!$C$22)=12,B24/4,IF(MONTH('Instruction &amp; Audit Report B '!$C$22)=6,B24*0.25,IF(MONTH('Instruction &amp; Audit Report B '!$C$22)=6,B24*0.25,IF(MONTH('Instruction &amp; Audit Report B '!$C$22)=9,B24*0.25,"ERROR")))))</f>
        <v>0</v>
      </c>
      <c r="H24" s="1800">
        <v>0</v>
      </c>
      <c r="I24" s="1800">
        <v>0</v>
      </c>
      <c r="J24" s="1800">
        <v>0</v>
      </c>
      <c r="K24" s="1800">
        <v>0</v>
      </c>
      <c r="L24" s="1827">
        <f t="shared" si="0"/>
        <v>0</v>
      </c>
      <c r="M24" s="363">
        <f t="shared" si="1"/>
        <v>0</v>
      </c>
      <c r="N24" s="2"/>
    </row>
    <row r="25" spans="1:14" x14ac:dyDescent="0.35">
      <c r="A25" s="364" t="s">
        <v>881</v>
      </c>
      <c r="B25" s="365">
        <f>B18-SUM(B19:B24)</f>
        <v>0</v>
      </c>
      <c r="C25" s="1828"/>
      <c r="D25" s="1829"/>
      <c r="E25" s="1810"/>
      <c r="F25" s="1810"/>
      <c r="G25" s="1887"/>
      <c r="H25" s="1808"/>
      <c r="I25" s="1808"/>
      <c r="J25" s="1808"/>
      <c r="K25" s="1808"/>
      <c r="L25" s="1830"/>
      <c r="M25" s="366">
        <f>M18-SUM(M19:M24)</f>
        <v>0</v>
      </c>
      <c r="N25" s="2"/>
    </row>
    <row r="26" spans="1:14" x14ac:dyDescent="0.35">
      <c r="A26" s="367" t="s">
        <v>882</v>
      </c>
      <c r="B26" s="368">
        <v>0</v>
      </c>
      <c r="C26" s="1831"/>
      <c r="D26" s="1832"/>
      <c r="E26" s="1833"/>
      <c r="F26" s="1833"/>
      <c r="G26" s="1888"/>
      <c r="H26" s="1834"/>
      <c r="I26" s="1834"/>
      <c r="J26" s="1834"/>
      <c r="K26" s="1834"/>
      <c r="L26" s="1835"/>
      <c r="M26" s="369">
        <f>B26</f>
        <v>0</v>
      </c>
      <c r="N26" s="2"/>
    </row>
    <row r="27" spans="1:14" ht="15" thickBot="1" x14ac:dyDescent="0.4">
      <c r="A27" s="370" t="s">
        <v>598</v>
      </c>
      <c r="B27" s="371">
        <f>B26*2000</f>
        <v>0</v>
      </c>
      <c r="C27" s="1831"/>
      <c r="D27" s="1836"/>
      <c r="E27" s="1836"/>
      <c r="F27" s="1836"/>
      <c r="G27" s="1889"/>
      <c r="H27" s="1834"/>
      <c r="I27" s="1834"/>
      <c r="J27" s="1834"/>
      <c r="K27" s="1834"/>
      <c r="L27" s="1835"/>
      <c r="M27" s="369">
        <f>M26*2000</f>
        <v>0</v>
      </c>
      <c r="N27" s="2"/>
    </row>
    <row r="28" spans="1:14" ht="15" thickBot="1" x14ac:dyDescent="0.4">
      <c r="A28" s="1619" t="s">
        <v>883</v>
      </c>
      <c r="B28" s="1620">
        <f>B25-B27</f>
        <v>0</v>
      </c>
      <c r="C28" s="1837"/>
      <c r="D28" s="1816"/>
      <c r="E28" s="1816"/>
      <c r="F28" s="1816"/>
      <c r="G28" s="1885"/>
      <c r="H28" s="1818"/>
      <c r="I28" s="1818"/>
      <c r="J28" s="1818"/>
      <c r="K28" s="1818"/>
      <c r="L28" s="1838"/>
      <c r="M28" s="1621">
        <f>M25-M27</f>
        <v>0</v>
      </c>
      <c r="N28" s="2" t="str">
        <f>IF(M28=0,"",IF(M28&lt; 0,"Warning! Ratio is noncompliant with financial viability standard.  Corrective action required", " "))</f>
        <v/>
      </c>
    </row>
    <row r="29" spans="1:14" x14ac:dyDescent="0.35">
      <c r="A29" s="372"/>
      <c r="B29" s="2"/>
      <c r="C29" s="1839"/>
      <c r="D29" s="2111"/>
      <c r="E29" s="1821"/>
      <c r="F29" s="1821"/>
      <c r="G29" s="1821"/>
      <c r="H29" s="1822"/>
      <c r="I29" s="1822"/>
      <c r="J29" s="1822"/>
      <c r="K29" s="1822"/>
      <c r="L29" s="1800"/>
      <c r="M29" s="21"/>
      <c r="N29" s="2"/>
    </row>
    <row r="30" spans="1:14" ht="15" thickBot="1" x14ac:dyDescent="0.4">
      <c r="A30" s="373" t="s">
        <v>884</v>
      </c>
      <c r="B30" s="2107"/>
      <c r="C30" s="2111"/>
      <c r="D30" s="2111"/>
      <c r="E30" s="2111"/>
      <c r="F30" s="2111"/>
      <c r="G30" s="2111"/>
      <c r="H30" s="2111"/>
      <c r="I30" s="2111"/>
      <c r="J30" s="2111"/>
      <c r="K30" s="2111"/>
      <c r="L30" s="2111"/>
      <c r="M30" s="2"/>
      <c r="N30" s="2"/>
    </row>
    <row r="31" spans="1:14" ht="19.5" customHeight="1" x14ac:dyDescent="0.35">
      <c r="A31" s="374" t="s">
        <v>885</v>
      </c>
      <c r="B31" s="375">
        <v>0</v>
      </c>
      <c r="C31" s="1840">
        <v>0</v>
      </c>
      <c r="D31" s="1841">
        <f>IF('Instruction &amp; Audit Report B '!$C$22="mm/dd/yyyy",0,IF(MONTH('Instruction &amp; Audit Report B '!$C$22)=12,0,IF(MONTH('Instruction &amp; Audit Report B '!$C$22)=6,0,IF(MONTH('Instruction &amp; Audit Report B '!$C$22)=3,0,IF(MONTH('Instruction &amp; Audit Report B '!$C$22)=9,B31*0.25,"ERROR")))))</f>
        <v>0</v>
      </c>
      <c r="E31" s="1842">
        <f>IF('Instruction &amp; Audit Report B '!$C$22="mm/dd/yyyy",0,IF(MONTH('Instruction &amp; Audit Report B '!$C$22)=12,B31/4,IF(MONTH('Instruction &amp; Audit Report B '!$C$22)=6,0,IF(MONTH('Instruction &amp; Audit Report B '!$C$22)=3,0,IF(MONTH('Instruction &amp; Audit Report B '!$C$22)=9,B31*0.25,"ERROR")))))</f>
        <v>0</v>
      </c>
      <c r="F31" s="1842">
        <f>IF('Instruction &amp; Audit Report B '!$C$22="mm/dd/yyyy",0,IF(MONTH('Instruction &amp; Audit Report B '!$C$22)=12,B31/4,IF(MONTH('Instruction &amp; Audit Report B '!$C$22)=6,0,IF(MONTH('Instruction &amp; Audit Report B '!$C$22)=3,B31*0.25,IF(MONTH('Instruction &amp; Audit Report B '!$C$22)=9,B31*0.25,"ERROR")))))</f>
        <v>0</v>
      </c>
      <c r="G31" s="1881">
        <f>IF('Instruction &amp; Audit Report B '!$C$22="mm/dd/yyyy",0,IF(MONTH('Instruction &amp; Audit Report B '!$C$22)=12,B31/4,IF(MONTH('Instruction &amp; Audit Report B '!$C$22)=6,B31*0.25,IF(MONTH('Instruction &amp; Audit Report B '!$C$22)=6,B31*0.25,IF(MONTH('Instruction &amp; Audit Report B '!$C$22)=9,B31*0.25,"ERROR")))))</f>
        <v>0</v>
      </c>
      <c r="H31" s="1843">
        <v>0</v>
      </c>
      <c r="I31" s="1843">
        <v>0</v>
      </c>
      <c r="J31" s="1843">
        <v>0</v>
      </c>
      <c r="K31" s="1795">
        <v>0</v>
      </c>
      <c r="L31" s="1844">
        <f>SUM(D31:K31)</f>
        <v>0</v>
      </c>
      <c r="M31" s="376">
        <f>B31+L31</f>
        <v>0</v>
      </c>
      <c r="N31" s="2"/>
    </row>
    <row r="32" spans="1:14" x14ac:dyDescent="0.35">
      <c r="A32" s="377" t="s">
        <v>886</v>
      </c>
      <c r="B32" s="378">
        <f>SUM(B31)</f>
        <v>0</v>
      </c>
      <c r="C32" s="1845"/>
      <c r="D32" s="1846"/>
      <c r="E32" s="1847"/>
      <c r="F32" s="1847"/>
      <c r="G32" s="1890"/>
      <c r="H32" s="1848"/>
      <c r="I32" s="1848"/>
      <c r="J32" s="1848"/>
      <c r="K32" s="1849"/>
      <c r="L32" s="1850"/>
      <c r="M32" s="379">
        <f>SUM(M31)</f>
        <v>0</v>
      </c>
      <c r="N32" s="2"/>
    </row>
    <row r="33" spans="1:14" x14ac:dyDescent="0.35">
      <c r="A33" s="350" t="s">
        <v>887</v>
      </c>
      <c r="B33" s="380">
        <v>0</v>
      </c>
      <c r="C33" s="1851">
        <v>0</v>
      </c>
      <c r="D33" s="1852">
        <f>IF('Instruction &amp; Audit Report B '!$C$22="mm/dd/yyyy",0,IF(MONTH('Instruction &amp; Audit Report B '!$C$22)=12,0,IF(MONTH('Instruction &amp; Audit Report B '!$C$22)=6,0,IF(MONTH('Instruction &amp; Audit Report B '!$C$22)=3,0,IF(MONTH('Instruction &amp; Audit Report B '!$C$22)=9,B33*0.25,"ERROR")))))</f>
        <v>0</v>
      </c>
      <c r="E33" s="1853">
        <f>IF('Instruction &amp; Audit Report B '!$C$22="mm/dd/yyyy",0,IF(MONTH('Instruction &amp; Audit Report B '!$C$22)=12,B33/4,IF(MONTH('Instruction &amp; Audit Report B '!$C$22)=6,0,IF(MONTH('Instruction &amp; Audit Report B '!$C$22)=3,0,IF(MONTH('Instruction &amp; Audit Report B '!$C$22)=9,B33*0.25,"ERROR")))))</f>
        <v>0</v>
      </c>
      <c r="F33" s="1853">
        <f>IF('Instruction &amp; Audit Report B '!$C$22="mm/dd/yyyy",0,IF(MONTH('Instruction &amp; Audit Report B '!$C$22)=12,B33/4,IF(MONTH('Instruction &amp; Audit Report B '!$C$22)=6,0,IF(MONTH('Instruction &amp; Audit Report B '!$C$22)=3,B33*0.25,IF(MONTH('Instruction &amp; Audit Report B '!$C$22)=9,B33*0.25,"ERROR")))))</f>
        <v>0</v>
      </c>
      <c r="G33" s="1882">
        <f>IF('Instruction &amp; Audit Report B '!$C$22="mm/dd/yyyy",0,IF(MONTH('Instruction &amp; Audit Report B '!$C$22)=12,B33/4,IF(MONTH('Instruction &amp; Audit Report B '!$C$22)=6,B33*0.25,IF(MONTH('Instruction &amp; Audit Report B '!$C$22)=6,B33*0.25,IF(MONTH('Instruction &amp; Audit Report B '!$C$22)=9,B33*0.25,"ERROR")))))</f>
        <v>0</v>
      </c>
      <c r="H33" s="1854">
        <v>0</v>
      </c>
      <c r="I33" s="1854">
        <v>0</v>
      </c>
      <c r="J33" s="1854">
        <v>0</v>
      </c>
      <c r="K33" s="1801">
        <v>0</v>
      </c>
      <c r="L33" s="1855">
        <f>SUM(D33:K33)</f>
        <v>0</v>
      </c>
      <c r="M33" s="381">
        <f t="shared" ref="M33:M40" si="2">B33+L33</f>
        <v>0</v>
      </c>
      <c r="N33" s="2"/>
    </row>
    <row r="34" spans="1:14" x14ac:dyDescent="0.35">
      <c r="A34" s="350" t="s">
        <v>888</v>
      </c>
      <c r="B34" s="380">
        <v>0</v>
      </c>
      <c r="C34" s="1851">
        <v>0</v>
      </c>
      <c r="D34" s="1852">
        <f>IF('Instruction &amp; Audit Report B '!$C$22="mm/dd/yyyy",0,IF(MONTH('Instruction &amp; Audit Report B '!$C$22)=12,0,IF(MONTH('Instruction &amp; Audit Report B '!$C$22)=6,0,IF(MONTH('Instruction &amp; Audit Report B '!$C$22)=3,0,IF(MONTH('Instruction &amp; Audit Report B '!$C$22)=9,B34*0.25,"ERROR")))))</f>
        <v>0</v>
      </c>
      <c r="E34" s="1853">
        <f>IF('Instruction &amp; Audit Report B '!$C$22="mm/dd/yyyy",0,IF(MONTH('Instruction &amp; Audit Report B '!$C$22)=12,B34/4,IF(MONTH('Instruction &amp; Audit Report B '!$C$22)=6,0,IF(MONTH('Instruction &amp; Audit Report B '!$C$22)=3,0,IF(MONTH('Instruction &amp; Audit Report B '!$C$22)=9,B34*0.25,"ERROR")))))</f>
        <v>0</v>
      </c>
      <c r="F34" s="1853">
        <f>IF('Instruction &amp; Audit Report B '!$C$22="mm/dd/yyyy",0,IF(MONTH('Instruction &amp; Audit Report B '!$C$22)=12,B34/4,IF(MONTH('Instruction &amp; Audit Report B '!$C$22)=6,0,IF(MONTH('Instruction &amp; Audit Report B '!$C$22)=3,B34*0.25,IF(MONTH('Instruction &amp; Audit Report B '!$C$22)=9,B34*0.25,"ERROR")))))</f>
        <v>0</v>
      </c>
      <c r="G34" s="1882">
        <f>IF('Instruction &amp; Audit Report B '!$C$22="mm/dd/yyyy",0,IF(MONTH('Instruction &amp; Audit Report B '!$C$22)=12,B34/4,IF(MONTH('Instruction &amp; Audit Report B '!$C$22)=6,B34*0.25,IF(MONTH('Instruction &amp; Audit Report B '!$C$22)=6,B34*0.25,IF(MONTH('Instruction &amp; Audit Report B '!$C$22)=9,B34*0.25,"ERROR")))))</f>
        <v>0</v>
      </c>
      <c r="H34" s="1854">
        <v>0</v>
      </c>
      <c r="I34" s="1854">
        <v>0</v>
      </c>
      <c r="J34" s="1854">
        <v>0</v>
      </c>
      <c r="K34" s="1801">
        <v>0</v>
      </c>
      <c r="L34" s="1855">
        <f>SUM(D34:K34)</f>
        <v>0</v>
      </c>
      <c r="M34" s="381">
        <f t="shared" si="2"/>
        <v>0</v>
      </c>
      <c r="N34" s="2"/>
    </row>
    <row r="35" spans="1:14" x14ac:dyDescent="0.35">
      <c r="A35" s="350" t="s">
        <v>889</v>
      </c>
      <c r="B35" s="380">
        <v>0</v>
      </c>
      <c r="C35" s="1851">
        <v>0</v>
      </c>
      <c r="D35" s="1852">
        <f>IF('Instruction &amp; Audit Report B '!$C$22="mm/dd/yyyy",0,IF(MONTH('Instruction &amp; Audit Report B '!$C$22)=12,0,IF(MONTH('Instruction &amp; Audit Report B '!$C$22)=6,0,IF(MONTH('Instruction &amp; Audit Report B '!$C$22)=3,0,IF(MONTH('Instruction &amp; Audit Report B '!$C$22)=9,B35*0.25,"ERROR")))))</f>
        <v>0</v>
      </c>
      <c r="E35" s="1853">
        <f>IF('Instruction &amp; Audit Report B '!$C$22="mm/dd/yyyy",0,IF(MONTH('Instruction &amp; Audit Report B '!$C$22)=12,B35/4,IF(MONTH('Instruction &amp; Audit Report B '!$C$22)=6,0,IF(MONTH('Instruction &amp; Audit Report B '!$C$22)=3,0,IF(MONTH('Instruction &amp; Audit Report B '!$C$22)=9,B35*0.25,"ERROR")))))</f>
        <v>0</v>
      </c>
      <c r="F35" s="1853">
        <f>IF('Instruction &amp; Audit Report B '!$C$22="mm/dd/yyyy",0,IF(MONTH('Instruction &amp; Audit Report B '!$C$22)=12,B35/4,IF(MONTH('Instruction &amp; Audit Report B '!$C$22)=6,0,IF(MONTH('Instruction &amp; Audit Report B '!$C$22)=3,B35*0.25,IF(MONTH('Instruction &amp; Audit Report B '!$C$22)=9,B35*0.25,"ERROR")))))</f>
        <v>0</v>
      </c>
      <c r="G35" s="1882">
        <f>IF('Instruction &amp; Audit Report B '!$C$22="mm/dd/yyyy",0,IF(MONTH('Instruction &amp; Audit Report B '!$C$22)=12,B35/4,IF(MONTH('Instruction &amp; Audit Report B '!$C$22)=6,B35*0.25,IF(MONTH('Instruction &amp; Audit Report B '!$C$22)=6,B35*0.25,IF(MONTH('Instruction &amp; Audit Report B '!$C$22)=9,B35*0.25,"ERROR")))))</f>
        <v>0</v>
      </c>
      <c r="H35" s="1854">
        <v>0</v>
      </c>
      <c r="I35" s="1854">
        <v>0</v>
      </c>
      <c r="J35" s="1854">
        <v>0</v>
      </c>
      <c r="K35" s="1801">
        <v>0</v>
      </c>
      <c r="L35" s="1855">
        <f t="shared" ref="L35" si="3">SUM(D35:K35)</f>
        <v>0</v>
      </c>
      <c r="M35" s="381">
        <f t="shared" si="2"/>
        <v>0</v>
      </c>
      <c r="N35" s="2"/>
    </row>
    <row r="36" spans="1:14" x14ac:dyDescent="0.35">
      <c r="A36" s="350" t="s">
        <v>890</v>
      </c>
      <c r="B36" s="380">
        <v>0</v>
      </c>
      <c r="C36" s="1851">
        <v>0</v>
      </c>
      <c r="D36" s="1852">
        <f>IF('Instruction &amp; Audit Report B '!$C$22="mm/dd/yyyy",0,IF(MONTH('Instruction &amp; Audit Report B '!$C$22)=12,0,IF(MONTH('Instruction &amp; Audit Report B '!$C$22)=6,0,IF(MONTH('Instruction &amp; Audit Report B '!$C$22)=3,0,IF(MONTH('Instruction &amp; Audit Report B '!$C$22)=9,B36*0.25,"ERROR")))))</f>
        <v>0</v>
      </c>
      <c r="E36" s="1853">
        <f>IF('Instruction &amp; Audit Report B '!$C$22="mm/dd/yyyy",0,IF(MONTH('Instruction &amp; Audit Report B '!$C$22)=12,B36/4,IF(MONTH('Instruction &amp; Audit Report B '!$C$22)=6,0,IF(MONTH('Instruction &amp; Audit Report B '!$C$22)=3,0,IF(MONTH('Instruction &amp; Audit Report B '!$C$22)=9,B36*0.25,"ERROR")))))</f>
        <v>0</v>
      </c>
      <c r="F36" s="1853">
        <f>IF('Instruction &amp; Audit Report B '!$C$22="mm/dd/yyyy",0,IF(MONTH('Instruction &amp; Audit Report B '!$C$22)=12,B36/4,IF(MONTH('Instruction &amp; Audit Report B '!$C$22)=6,0,IF(MONTH('Instruction &amp; Audit Report B '!$C$22)=3,B36*0.25,IF(MONTH('Instruction &amp; Audit Report B '!$C$22)=9,B36*0.25,"ERROR")))))</f>
        <v>0</v>
      </c>
      <c r="G36" s="1882">
        <f>IF('Instruction &amp; Audit Report B '!$C$22="mm/dd/yyyy",0,IF(MONTH('Instruction &amp; Audit Report B '!$C$22)=12,B36/4,IF(MONTH('Instruction &amp; Audit Report B '!$C$22)=6,B36*0.25,IF(MONTH('Instruction &amp; Audit Report B '!$C$22)=6,B36*0.25,IF(MONTH('Instruction &amp; Audit Report B '!$C$22)=9,B36*0.25,"ERROR")))))</f>
        <v>0</v>
      </c>
      <c r="H36" s="1854">
        <v>0</v>
      </c>
      <c r="I36" s="1854">
        <v>0</v>
      </c>
      <c r="J36" s="1854">
        <v>0</v>
      </c>
      <c r="K36" s="1801">
        <v>0</v>
      </c>
      <c r="L36" s="1855">
        <f>SUM(D36:K36)</f>
        <v>0</v>
      </c>
      <c r="M36" s="381">
        <f t="shared" si="2"/>
        <v>0</v>
      </c>
      <c r="N36" s="2"/>
    </row>
    <row r="37" spans="1:14" x14ac:dyDescent="0.35">
      <c r="A37" s="350" t="s">
        <v>891</v>
      </c>
      <c r="B37" s="380">
        <v>0</v>
      </c>
      <c r="C37" s="1851">
        <v>0</v>
      </c>
      <c r="D37" s="1852">
        <f>IF('Instruction &amp; Audit Report B '!$C$22="mm/dd/yyyy",0,IF(MONTH('Instruction &amp; Audit Report B '!$C$22)=12,0,IF(MONTH('Instruction &amp; Audit Report B '!$C$22)=6,0,IF(MONTH('Instruction &amp; Audit Report B '!$C$22)=3,0,IF(MONTH('Instruction &amp; Audit Report B '!$C$22)=9,B37*0.25,"ERROR")))))</f>
        <v>0</v>
      </c>
      <c r="E37" s="1853">
        <f>IF('Instruction &amp; Audit Report B '!$C$22="mm/dd/yyyy",0,IF(MONTH('Instruction &amp; Audit Report B '!$C$22)=12,B37/4,IF(MONTH('Instruction &amp; Audit Report B '!$C$22)=6,0,IF(MONTH('Instruction &amp; Audit Report B '!$C$22)=3,0,IF(MONTH('Instruction &amp; Audit Report B '!$C$22)=9,B37*0.25,"ERROR")))))</f>
        <v>0</v>
      </c>
      <c r="F37" s="1853">
        <f>IF('Instruction &amp; Audit Report B '!$C$22="mm/dd/yyyy",0,IF(MONTH('Instruction &amp; Audit Report B '!$C$22)=12,B37/4,IF(MONTH('Instruction &amp; Audit Report B '!$C$22)=6,0,IF(MONTH('Instruction &amp; Audit Report B '!$C$22)=3,B37*0.25,IF(MONTH('Instruction &amp; Audit Report B '!$C$22)=9,B37*0.25,"ERROR")))))</f>
        <v>0</v>
      </c>
      <c r="G37" s="1882">
        <f>IF('Instruction &amp; Audit Report B '!$C$22="mm/dd/yyyy",0,IF(MONTH('Instruction &amp; Audit Report B '!$C$22)=12,B37/4,IF(MONTH('Instruction &amp; Audit Report B '!$C$22)=6,B37*0.25,IF(MONTH('Instruction &amp; Audit Report B '!$C$22)=6,B37*0.25,IF(MONTH('Instruction &amp; Audit Report B '!$C$22)=9,B37*0.25,"ERROR")))))</f>
        <v>0</v>
      </c>
      <c r="H37" s="1854">
        <v>0</v>
      </c>
      <c r="I37" s="1854">
        <v>0</v>
      </c>
      <c r="J37" s="1854">
        <v>0</v>
      </c>
      <c r="K37" s="1801">
        <v>0</v>
      </c>
      <c r="L37" s="1855">
        <f>SUM(D37:K37)</f>
        <v>0</v>
      </c>
      <c r="M37" s="381">
        <f t="shared" si="2"/>
        <v>0</v>
      </c>
      <c r="N37" s="2"/>
    </row>
    <row r="38" spans="1:14" x14ac:dyDescent="0.35">
      <c r="A38" s="350" t="s">
        <v>892</v>
      </c>
      <c r="B38" s="380">
        <v>0</v>
      </c>
      <c r="C38" s="1851">
        <v>0</v>
      </c>
      <c r="D38" s="1852">
        <f>IF('Instruction &amp; Audit Report B '!$C$22="mm/dd/yyyy",0,IF(MONTH('Instruction &amp; Audit Report B '!$C$22)=12,0,IF(MONTH('Instruction &amp; Audit Report B '!$C$22)=6,0,IF(MONTH('Instruction &amp; Audit Report B '!$C$22)=3,0,IF(MONTH('Instruction &amp; Audit Report B '!$C$22)=9,B38*0.25,"ERROR")))))</f>
        <v>0</v>
      </c>
      <c r="E38" s="1853">
        <f>IF('Instruction &amp; Audit Report B '!$C$22="mm/dd/yyyy",0,IF(MONTH('Instruction &amp; Audit Report B '!$C$22)=12,B38/4,IF(MONTH('Instruction &amp; Audit Report B '!$C$22)=6,0,IF(MONTH('Instruction &amp; Audit Report B '!$C$22)=3,0,IF(MONTH('Instruction &amp; Audit Report B '!$C$22)=9,B38*0.25,"ERROR")))))</f>
        <v>0</v>
      </c>
      <c r="F38" s="1853">
        <f>IF('Instruction &amp; Audit Report B '!$C$22="mm/dd/yyyy",0,IF(MONTH('Instruction &amp; Audit Report B '!$C$22)=12,B38/4,IF(MONTH('Instruction &amp; Audit Report B '!$C$22)=6,0,IF(MONTH('Instruction &amp; Audit Report B '!$C$22)=3,B38*0.25,IF(MONTH('Instruction &amp; Audit Report B '!$C$22)=9,B38*0.25,"ERROR")))))</f>
        <v>0</v>
      </c>
      <c r="G38" s="1882">
        <f>IF('Instruction &amp; Audit Report B '!$C$22="mm/dd/yyyy",0,IF(MONTH('Instruction &amp; Audit Report B '!$C$22)=12,B38/4,IF(MONTH('Instruction &amp; Audit Report B '!$C$22)=6,B38*0.25,IF(MONTH('Instruction &amp; Audit Report B '!$C$22)=6,B38*0.25,IF(MONTH('Instruction &amp; Audit Report B '!$C$22)=9,B38*0.25,"ERROR")))))</f>
        <v>0</v>
      </c>
      <c r="H38" s="1854">
        <v>0</v>
      </c>
      <c r="I38" s="1854">
        <v>0</v>
      </c>
      <c r="J38" s="1854">
        <v>0</v>
      </c>
      <c r="K38" s="1801">
        <v>0</v>
      </c>
      <c r="L38" s="1855">
        <f>SUM(D38:K38)</f>
        <v>0</v>
      </c>
      <c r="M38" s="381">
        <f t="shared" si="2"/>
        <v>0</v>
      </c>
      <c r="N38" s="2"/>
    </row>
    <row r="39" spans="1:14" x14ac:dyDescent="0.35">
      <c r="A39" s="382" t="s">
        <v>893</v>
      </c>
      <c r="B39" s="380">
        <v>0</v>
      </c>
      <c r="C39" s="1851">
        <v>0</v>
      </c>
      <c r="D39" s="1852">
        <f>IF('Instruction &amp; Audit Report B '!$C$22="mm/dd/yyyy",0,IF(MONTH('Instruction &amp; Audit Report B '!$C$22)=12,0,IF(MONTH('Instruction &amp; Audit Report B '!$C$22)=6,0,IF(MONTH('Instruction &amp; Audit Report B '!$C$22)=3,0,IF(MONTH('Instruction &amp; Audit Report B '!$C$22)=9,B39*0.25,"ERROR")))))</f>
        <v>0</v>
      </c>
      <c r="E39" s="1853">
        <f>IF('Instruction &amp; Audit Report B '!$C$22="mm/dd/yyyy",0,IF(MONTH('Instruction &amp; Audit Report B '!$C$22)=12,B39/4,IF(MONTH('Instruction &amp; Audit Report B '!$C$22)=6,0,IF(MONTH('Instruction &amp; Audit Report B '!$C$22)=3,0,IF(MONTH('Instruction &amp; Audit Report B '!$C$22)=9,B39*0.25,"ERROR")))))</f>
        <v>0</v>
      </c>
      <c r="F39" s="1853">
        <f>IF('Instruction &amp; Audit Report B '!$C$22="mm/dd/yyyy",0,IF(MONTH('Instruction &amp; Audit Report B '!$C$22)=12,B39/4,IF(MONTH('Instruction &amp; Audit Report B '!$C$22)=6,0,IF(MONTH('Instruction &amp; Audit Report B '!$C$22)=3,B39*0.25,IF(MONTH('Instruction &amp; Audit Report B '!$C$22)=9,B39*0.25,"ERROR")))))</f>
        <v>0</v>
      </c>
      <c r="G39" s="1882">
        <f>IF('Instruction &amp; Audit Report B '!$C$22="mm/dd/yyyy",0,IF(MONTH('Instruction &amp; Audit Report B '!$C$22)=12,B39/4,IF(MONTH('Instruction &amp; Audit Report B '!$C$22)=6,B39*0.25,IF(MONTH('Instruction &amp; Audit Report B '!$C$22)=6,B39*0.25,IF(MONTH('Instruction &amp; Audit Report B '!$C$22)=9,B39*0.25,"ERROR")))))</f>
        <v>0</v>
      </c>
      <c r="H39" s="1854">
        <v>0</v>
      </c>
      <c r="I39" s="1854">
        <v>0</v>
      </c>
      <c r="J39" s="1854">
        <v>0</v>
      </c>
      <c r="K39" s="1801">
        <v>0</v>
      </c>
      <c r="L39" s="1855">
        <f>SUM(D39:K39)</f>
        <v>0</v>
      </c>
      <c r="M39" s="381">
        <f t="shared" si="2"/>
        <v>0</v>
      </c>
      <c r="N39" s="2"/>
    </row>
    <row r="40" spans="1:14" x14ac:dyDescent="0.35">
      <c r="A40" s="350" t="s">
        <v>894</v>
      </c>
      <c r="B40" s="380">
        <v>0</v>
      </c>
      <c r="C40" s="1856">
        <v>0</v>
      </c>
      <c r="D40" s="1852">
        <f>IF('Instruction &amp; Audit Report B '!$C$22="mm/dd/yyyy",0,IF(MONTH('Instruction &amp; Audit Report B '!$C$22)=12,0,IF(MONTH('Instruction &amp; Audit Report B '!$C$22)=6,0,IF(MONTH('Instruction &amp; Audit Report B '!$C$22)=3,0,IF(MONTH('Instruction &amp; Audit Report B '!$C$22)=9,B40*0.25,"ERROR")))))</f>
        <v>0</v>
      </c>
      <c r="E40" s="1853">
        <f>IF('Instruction &amp; Audit Report B '!$C$22="mm/dd/yyyy",0,IF(MONTH('Instruction &amp; Audit Report B '!$C$22)=12,B40/4,IF(MONTH('Instruction &amp; Audit Report B '!$C$22)=6,0,IF(MONTH('Instruction &amp; Audit Report B '!$C$22)=3,0,IF(MONTH('Instruction &amp; Audit Report B '!$C$22)=9,B40*0.25,"ERROR")))))</f>
        <v>0</v>
      </c>
      <c r="F40" s="1853">
        <f>IF('Instruction &amp; Audit Report B '!$C$22="mm/dd/yyyy",0,IF(MONTH('Instruction &amp; Audit Report B '!$C$22)=12,B40/4,IF(MONTH('Instruction &amp; Audit Report B '!$C$22)=6,0,IF(MONTH('Instruction &amp; Audit Report B '!$C$22)=3,B40*0.25,IF(MONTH('Instruction &amp; Audit Report B '!$C$22)=9,B40*0.25,"ERROR")))))</f>
        <v>0</v>
      </c>
      <c r="G40" s="1882">
        <f>IF('Instruction &amp; Audit Report B '!$C$22="mm/dd/yyyy",0,IF(MONTH('Instruction &amp; Audit Report B '!$C$22)=12,B40/4,IF(MONTH('Instruction &amp; Audit Report B '!$C$22)=6,B40*0.25,IF(MONTH('Instruction &amp; Audit Report B '!$C$22)=6,B40*0.25,IF(MONTH('Instruction &amp; Audit Report B '!$C$22)=9,B40*0.25,"ERROR")))))</f>
        <v>0</v>
      </c>
      <c r="H40" s="1854">
        <v>0</v>
      </c>
      <c r="I40" s="1854">
        <v>0</v>
      </c>
      <c r="J40" s="1854">
        <v>0</v>
      </c>
      <c r="K40" s="1801">
        <v>0</v>
      </c>
      <c r="L40" s="1855">
        <f>SUM(D40:K40)</f>
        <v>0</v>
      </c>
      <c r="M40" s="381">
        <f t="shared" si="2"/>
        <v>0</v>
      </c>
      <c r="N40" s="2"/>
    </row>
    <row r="41" spans="1:14" ht="15" thickBot="1" x14ac:dyDescent="0.4">
      <c r="A41" s="383" t="s">
        <v>895</v>
      </c>
      <c r="B41" s="384">
        <f>SUM(B33:B38)-B39-B40</f>
        <v>0</v>
      </c>
      <c r="C41" s="1857"/>
      <c r="D41" s="1858"/>
      <c r="E41" s="1859"/>
      <c r="F41" s="1859"/>
      <c r="G41" s="1891"/>
      <c r="H41" s="1860"/>
      <c r="I41" s="1860"/>
      <c r="J41" s="1860"/>
      <c r="K41" s="1861"/>
      <c r="L41" s="1862"/>
      <c r="M41" s="385">
        <f>SUM(M33:M38)-M39-M40</f>
        <v>0</v>
      </c>
      <c r="N41" s="2"/>
    </row>
    <row r="42" spans="1:14" ht="15" thickBot="1" x14ac:dyDescent="0.4">
      <c r="A42" s="1619" t="s">
        <v>613</v>
      </c>
      <c r="B42" s="1622">
        <f>IF(OR(B32=0,B41=0),0,ROUND(B32/B41,4))</f>
        <v>0</v>
      </c>
      <c r="C42" s="1863"/>
      <c r="D42" s="1864"/>
      <c r="E42" s="1865"/>
      <c r="F42" s="1865"/>
      <c r="G42" s="1892"/>
      <c r="H42" s="1865"/>
      <c r="I42" s="1865"/>
      <c r="J42" s="1865"/>
      <c r="K42" s="1866"/>
      <c r="L42" s="1867"/>
      <c r="M42" s="1872">
        <f>IF(OR(M32=0,M41=0),0,ROUND(M32/M41,4))</f>
        <v>0</v>
      </c>
      <c r="N42" s="2" t="str">
        <f>IF(M42=0,"",IF(M42  &gt;8%,"Warning! Ratio is noncompliant with financial viability standard.  Corrective action required", " "))</f>
        <v/>
      </c>
    </row>
  </sheetData>
  <mergeCells count="6">
    <mergeCell ref="A5:M5"/>
    <mergeCell ref="D7:G7"/>
    <mergeCell ref="H7:K7"/>
    <mergeCell ref="B8:B9"/>
    <mergeCell ref="C8:C9"/>
    <mergeCell ref="M8:M9"/>
  </mergeCells>
  <conditionalFormatting sqref="A18:M28">
    <cfRule type="expression" dxfId="7" priority="5">
      <formula>_xlfn.TEXTAFTER($A$3,": ")="DES-DDD"</formula>
    </cfRule>
  </conditionalFormatting>
  <conditionalFormatting sqref="M15">
    <cfRule type="expression" dxfId="6" priority="8">
      <formula>SEARCH("Warning",$N$14)</formula>
    </cfRule>
  </conditionalFormatting>
  <conditionalFormatting sqref="N15">
    <cfRule type="containsText" dxfId="5" priority="3" operator="containsText" text="Warning">
      <formula>NOT(ISERROR(SEARCH("Warning",N15)))</formula>
    </cfRule>
  </conditionalFormatting>
  <conditionalFormatting sqref="N28">
    <cfRule type="containsText" dxfId="4" priority="2" operator="containsText" text="Warning">
      <formula>NOT(ISERROR(SEARCH("Warning",N28)))</formula>
    </cfRule>
  </conditionalFormatting>
  <conditionalFormatting sqref="N42">
    <cfRule type="containsText" dxfId="3" priority="1" operator="containsText" text="Warning">
      <formula>NOT(ISERROR(SEARCH("Warning",N42)))</formula>
    </cfRule>
  </conditionalFormatting>
  <pageMargins left="0.7" right="0.7" top="0.75" bottom="0.75" header="0.3" footer="0.3"/>
  <pageSetup orientation="portrait" horizontalDpi="90" verticalDpi="90" r:id="rId1"/>
  <ignoredErrors>
    <ignoredError sqref="A3" unlockedFormula="1"/>
    <ignoredError sqref="M13 M32"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25975-7724-4F7E-A4DA-DA7BE09B22EE}">
  <sheetPr>
    <pageSetUpPr fitToPage="1"/>
  </sheetPr>
  <dimension ref="A1:T120"/>
  <sheetViews>
    <sheetView showGridLines="0" topLeftCell="E82" zoomScaleNormal="100" zoomScaleSheetLayoutView="100" workbookViewId="0">
      <selection activeCell="P40" sqref="P40:Q40"/>
    </sheetView>
  </sheetViews>
  <sheetFormatPr defaultColWidth="8.7265625" defaultRowHeight="14.5" x14ac:dyDescent="0.35"/>
  <cols>
    <col min="1" max="1" width="26.453125" style="94" customWidth="1"/>
    <col min="2" max="2" width="23.7265625" style="94" customWidth="1"/>
    <col min="3" max="3" width="9.26953125" style="107" customWidth="1"/>
    <col min="4" max="4" width="10.26953125" style="107" customWidth="1"/>
    <col min="5" max="5" width="61.453125" style="94" customWidth="1"/>
    <col min="6" max="6" width="18.7265625" style="94" customWidth="1"/>
    <col min="7" max="7" width="28.1796875" style="95" customWidth="1"/>
    <col min="8" max="11" width="13.26953125" style="94" customWidth="1"/>
    <col min="12" max="12" width="14.54296875" customWidth="1"/>
    <col min="13" max="14" width="15" customWidth="1"/>
    <col min="15" max="15" width="17.7265625" customWidth="1"/>
    <col min="16" max="16" width="8.7265625" style="94"/>
    <col min="17" max="17" width="71" style="94" customWidth="1"/>
    <col min="18" max="18" width="11.7265625" style="94" customWidth="1"/>
    <col min="19" max="19" width="63.7265625" style="94" customWidth="1"/>
    <col min="20" max="16384" width="8.7265625" style="94"/>
  </cols>
  <sheetData>
    <row r="1" spans="1:18" ht="15" thickBot="1" x14ac:dyDescent="0.4">
      <c r="A1" s="1623" t="s">
        <v>896</v>
      </c>
      <c r="B1" s="1624"/>
      <c r="C1" s="1625"/>
      <c r="D1" s="1625"/>
      <c r="E1" s="1626"/>
      <c r="L1" s="94"/>
      <c r="M1" s="94"/>
      <c r="N1" s="94"/>
      <c r="O1" s="94"/>
    </row>
    <row r="2" spans="1:18" ht="12.75" customHeight="1" x14ac:dyDescent="0.35">
      <c r="A2" s="41" t="s">
        <v>45</v>
      </c>
      <c r="B2" s="23" t="str">
        <f>'FS-Balance Sheet 3.04'!B4</f>
        <v>Select Contractor Name</v>
      </c>
      <c r="C2" s="96"/>
      <c r="D2" s="96"/>
      <c r="E2" s="97"/>
      <c r="L2" s="94"/>
      <c r="M2" s="94"/>
      <c r="N2" s="94"/>
      <c r="O2" s="94"/>
      <c r="P2" s="2346" t="s">
        <v>897</v>
      </c>
      <c r="Q2" s="2347"/>
    </row>
    <row r="3" spans="1:18" ht="12.75" customHeight="1" thickBot="1" x14ac:dyDescent="0.4">
      <c r="A3" s="41" t="s">
        <v>898</v>
      </c>
      <c r="B3" s="40">
        <f>'Financial  Viability  E'!B4</f>
        <v>45565</v>
      </c>
      <c r="C3" s="96"/>
      <c r="D3" s="96"/>
      <c r="E3" s="98" t="s">
        <v>899</v>
      </c>
      <c r="F3" s="99"/>
      <c r="G3" s="100"/>
      <c r="L3" s="94"/>
      <c r="M3" s="94"/>
      <c r="N3" s="94"/>
      <c r="O3" s="94"/>
      <c r="P3" s="2348" t="s">
        <v>900</v>
      </c>
      <c r="Q3" s="2349"/>
    </row>
    <row r="4" spans="1:18" ht="15" thickBot="1" x14ac:dyDescent="0.4">
      <c r="A4" s="101"/>
      <c r="B4" s="102"/>
      <c r="C4" s="96"/>
      <c r="D4" s="96"/>
      <c r="E4" s="103"/>
      <c r="F4" s="104"/>
      <c r="G4" s="105"/>
      <c r="H4" s="2352" t="s">
        <v>901</v>
      </c>
      <c r="I4" s="2353"/>
      <c r="J4" s="2353"/>
      <c r="K4" s="2353"/>
      <c r="L4" s="2354"/>
      <c r="M4" s="106"/>
      <c r="N4" s="106"/>
      <c r="O4" s="1712" t="s">
        <v>733</v>
      </c>
      <c r="P4" s="2350"/>
      <c r="Q4" s="2351"/>
    </row>
    <row r="5" spans="1:18" ht="31.5" thickBot="1" x14ac:dyDescent="0.4">
      <c r="E5" s="41"/>
      <c r="F5" s="108"/>
      <c r="G5" s="109"/>
      <c r="H5" s="1627">
        <f>EOMONTH(I5,-3)</f>
        <v>45291</v>
      </c>
      <c r="I5" s="1628">
        <f>EOMONTH(J5,-3)</f>
        <v>45382</v>
      </c>
      <c r="J5" s="1628">
        <f>EOMONTH(K5,-3)</f>
        <v>45473</v>
      </c>
      <c r="K5" s="1629">
        <f>B3</f>
        <v>45565</v>
      </c>
      <c r="L5" s="1630" t="str">
        <f>"CYE "&amp;TEXT(B3,"yy")</f>
        <v>CYE 24</v>
      </c>
      <c r="M5" s="1631" t="s">
        <v>902</v>
      </c>
      <c r="N5" s="1632" t="s">
        <v>903</v>
      </c>
      <c r="O5" s="1633" t="str">
        <f>"Restated "&amp;L5</f>
        <v>Restated CYE 24</v>
      </c>
      <c r="P5" s="2348" t="s">
        <v>904</v>
      </c>
      <c r="Q5" s="2349"/>
      <c r="R5" s="2112"/>
    </row>
    <row r="6" spans="1:18" ht="24.75" customHeight="1" thickBot="1" x14ac:dyDescent="0.4">
      <c r="A6" s="110"/>
      <c r="B6" s="110"/>
      <c r="C6" s="110"/>
      <c r="D6" s="96"/>
      <c r="F6" s="111"/>
      <c r="G6" s="1713" t="s">
        <v>579</v>
      </c>
      <c r="H6" s="112">
        <v>0</v>
      </c>
      <c r="I6" s="113">
        <v>0</v>
      </c>
      <c r="J6" s="113">
        <v>0</v>
      </c>
      <c r="K6" s="114">
        <v>0</v>
      </c>
      <c r="L6" s="115">
        <f>SUM(H6:K6)</f>
        <v>0</v>
      </c>
      <c r="M6" s="112">
        <v>0</v>
      </c>
      <c r="N6" s="116">
        <v>0</v>
      </c>
      <c r="O6" s="117">
        <f>SUM(L6:N6)</f>
        <v>0</v>
      </c>
      <c r="P6" s="2355"/>
      <c r="Q6" s="2356"/>
    </row>
    <row r="7" spans="1:18" s="101" customFormat="1" ht="60" customHeight="1" thickBot="1" x14ac:dyDescent="0.4">
      <c r="A7" s="1634" t="s">
        <v>905</v>
      </c>
      <c r="B7" s="1635" t="s">
        <v>906</v>
      </c>
      <c r="C7" s="1636" t="s">
        <v>907</v>
      </c>
      <c r="D7" s="1636" t="s">
        <v>908</v>
      </c>
      <c r="E7" s="1635" t="s">
        <v>909</v>
      </c>
      <c r="F7" s="1636" t="s">
        <v>910</v>
      </c>
      <c r="G7" s="1637" t="s">
        <v>911</v>
      </c>
      <c r="H7" s="1638"/>
      <c r="I7" s="1638"/>
      <c r="J7" s="1638"/>
      <c r="K7" s="1638"/>
      <c r="L7" s="2357"/>
      <c r="M7" s="2358"/>
      <c r="N7" s="2358"/>
      <c r="O7" s="2358"/>
      <c r="P7" s="2358"/>
      <c r="Q7" s="2359"/>
    </row>
    <row r="8" spans="1:18" s="101" customFormat="1" ht="14.9" customHeight="1" x14ac:dyDescent="0.35">
      <c r="A8" s="2363" t="s">
        <v>912</v>
      </c>
      <c r="B8" s="2378"/>
      <c r="C8" s="2379"/>
      <c r="D8" s="2380"/>
      <c r="E8" s="1714" t="s">
        <v>913</v>
      </c>
      <c r="F8" s="2322"/>
      <c r="G8" s="2323"/>
      <c r="H8" s="2323"/>
      <c r="I8" s="2323"/>
      <c r="J8" s="2323"/>
      <c r="K8" s="2323"/>
      <c r="L8" s="2323"/>
      <c r="M8" s="2323"/>
      <c r="N8" s="2323"/>
      <c r="O8" s="2323"/>
      <c r="P8" s="2323"/>
      <c r="Q8" s="2324"/>
    </row>
    <row r="9" spans="1:18" s="101" customFormat="1" ht="15" thickBot="1" x14ac:dyDescent="0.4">
      <c r="A9" s="2364"/>
      <c r="B9" s="2325"/>
      <c r="C9" s="2326"/>
      <c r="D9" s="2327"/>
      <c r="E9" s="1715" t="s">
        <v>914</v>
      </c>
      <c r="F9" s="2328"/>
      <c r="G9" s="2329"/>
      <c r="H9" s="2329"/>
      <c r="I9" s="2329"/>
      <c r="J9" s="2329"/>
      <c r="K9" s="2329"/>
      <c r="L9" s="2329"/>
      <c r="M9" s="2329"/>
      <c r="N9" s="2329"/>
      <c r="O9" s="2329"/>
      <c r="P9" s="2329"/>
      <c r="Q9" s="2330"/>
    </row>
    <row r="10" spans="1:18" ht="87" customHeight="1" x14ac:dyDescent="0.35">
      <c r="A10" s="2364"/>
      <c r="B10" s="118" t="s">
        <v>915</v>
      </c>
      <c r="C10" s="119" t="s">
        <v>916</v>
      </c>
      <c r="D10" s="120">
        <v>1</v>
      </c>
      <c r="E10" s="121" t="s">
        <v>917</v>
      </c>
      <c r="F10" s="121" t="s">
        <v>918</v>
      </c>
      <c r="G10" s="122" t="s">
        <v>200</v>
      </c>
      <c r="H10" s="123">
        <v>0</v>
      </c>
      <c r="I10" s="124">
        <v>0</v>
      </c>
      <c r="J10" s="124">
        <v>0</v>
      </c>
      <c r="K10" s="125">
        <v>0</v>
      </c>
      <c r="L10" s="126">
        <f t="shared" ref="L10:L24" si="0">SUM(H10:K10)</f>
        <v>0</v>
      </c>
      <c r="M10" s="127">
        <v>0</v>
      </c>
      <c r="N10" s="125">
        <v>0</v>
      </c>
      <c r="O10" s="126">
        <f t="shared" ref="O10:O23" si="1">SUM(L10:N10)</f>
        <v>0</v>
      </c>
      <c r="P10" s="2374" t="s">
        <v>919</v>
      </c>
      <c r="Q10" s="2375"/>
    </row>
    <row r="11" spans="1:18" ht="58.5" customHeight="1" x14ac:dyDescent="0.35">
      <c r="A11" s="2364"/>
      <c r="B11" s="128" t="s">
        <v>920</v>
      </c>
      <c r="C11" s="129" t="s">
        <v>921</v>
      </c>
      <c r="D11" s="130">
        <v>2</v>
      </c>
      <c r="E11" s="131" t="s">
        <v>922</v>
      </c>
      <c r="F11" s="131" t="s">
        <v>923</v>
      </c>
      <c r="G11" s="132" t="s">
        <v>202</v>
      </c>
      <c r="H11" s="133">
        <v>0</v>
      </c>
      <c r="I11" s="134">
        <v>0</v>
      </c>
      <c r="J11" s="134">
        <v>0</v>
      </c>
      <c r="K11" s="135">
        <v>0</v>
      </c>
      <c r="L11" s="136">
        <f>SUM(H11:K11)</f>
        <v>0</v>
      </c>
      <c r="M11" s="133">
        <v>0</v>
      </c>
      <c r="N11" s="135">
        <v>0</v>
      </c>
      <c r="O11" s="136">
        <f t="shared" si="1"/>
        <v>0</v>
      </c>
      <c r="P11" s="2331" t="s">
        <v>924</v>
      </c>
      <c r="Q11" s="2337"/>
      <c r="R11" s="137"/>
    </row>
    <row r="12" spans="1:18" x14ac:dyDescent="0.35">
      <c r="A12" s="2364"/>
      <c r="B12" s="138" t="s">
        <v>925</v>
      </c>
      <c r="C12" s="139" t="s">
        <v>916</v>
      </c>
      <c r="D12" s="140">
        <v>3</v>
      </c>
      <c r="E12" s="141" t="s">
        <v>926</v>
      </c>
      <c r="F12" s="141" t="s">
        <v>927</v>
      </c>
      <c r="G12" s="132" t="s">
        <v>928</v>
      </c>
      <c r="H12" s="133">
        <v>0</v>
      </c>
      <c r="I12" s="134">
        <v>0</v>
      </c>
      <c r="J12" s="134">
        <v>0</v>
      </c>
      <c r="K12" s="135">
        <v>0</v>
      </c>
      <c r="L12" s="136">
        <f t="shared" si="0"/>
        <v>0</v>
      </c>
      <c r="M12" s="133">
        <v>0</v>
      </c>
      <c r="N12" s="135">
        <v>0</v>
      </c>
      <c r="O12" s="136">
        <f t="shared" si="1"/>
        <v>0</v>
      </c>
      <c r="P12" s="2376"/>
      <c r="Q12" s="2377"/>
    </row>
    <row r="13" spans="1:18" ht="41.25" customHeight="1" x14ac:dyDescent="0.35">
      <c r="A13" s="2364"/>
      <c r="B13" s="128" t="s">
        <v>929</v>
      </c>
      <c r="C13" s="129" t="s">
        <v>916</v>
      </c>
      <c r="D13" s="130">
        <v>4</v>
      </c>
      <c r="E13" s="141" t="s">
        <v>930</v>
      </c>
      <c r="F13" s="141" t="s">
        <v>918</v>
      </c>
      <c r="G13" s="142"/>
      <c r="H13" s="133">
        <v>0</v>
      </c>
      <c r="I13" s="134">
        <v>0</v>
      </c>
      <c r="J13" s="134">
        <v>0</v>
      </c>
      <c r="K13" s="135">
        <v>0</v>
      </c>
      <c r="L13" s="136">
        <f t="shared" si="0"/>
        <v>0</v>
      </c>
      <c r="M13" s="143">
        <v>0</v>
      </c>
      <c r="N13" s="135">
        <v>0</v>
      </c>
      <c r="O13" s="136">
        <f t="shared" si="1"/>
        <v>0</v>
      </c>
      <c r="P13" s="2331" t="s">
        <v>931</v>
      </c>
      <c r="Q13" s="2337"/>
    </row>
    <row r="14" spans="1:18" ht="12.75" customHeight="1" x14ac:dyDescent="0.35">
      <c r="A14" s="2364"/>
      <c r="B14" s="128" t="s">
        <v>932</v>
      </c>
      <c r="C14" s="129" t="s">
        <v>921</v>
      </c>
      <c r="D14" s="130">
        <v>5</v>
      </c>
      <c r="E14" s="131" t="s">
        <v>933</v>
      </c>
      <c r="F14" s="141" t="s">
        <v>918</v>
      </c>
      <c r="G14" s="142"/>
      <c r="H14" s="133">
        <v>0</v>
      </c>
      <c r="I14" s="134">
        <v>0</v>
      </c>
      <c r="J14" s="134">
        <v>0</v>
      </c>
      <c r="K14" s="135">
        <v>0</v>
      </c>
      <c r="L14" s="136">
        <f t="shared" si="0"/>
        <v>0</v>
      </c>
      <c r="M14" s="133">
        <v>0</v>
      </c>
      <c r="N14" s="135">
        <v>0</v>
      </c>
      <c r="O14" s="136">
        <f t="shared" si="1"/>
        <v>0</v>
      </c>
      <c r="P14" s="2335" t="s">
        <v>934</v>
      </c>
      <c r="Q14" s="2336"/>
    </row>
    <row r="15" spans="1:18" x14ac:dyDescent="0.35">
      <c r="A15" s="2364"/>
      <c r="B15" s="2342" t="s">
        <v>935</v>
      </c>
      <c r="C15" s="129" t="s">
        <v>921</v>
      </c>
      <c r="D15" s="130">
        <v>6</v>
      </c>
      <c r="E15" s="141" t="s">
        <v>936</v>
      </c>
      <c r="F15" s="141"/>
      <c r="G15" s="132"/>
      <c r="H15" s="133">
        <v>0</v>
      </c>
      <c r="I15" s="134">
        <v>0</v>
      </c>
      <c r="J15" s="134">
        <v>0</v>
      </c>
      <c r="K15" s="135">
        <v>0</v>
      </c>
      <c r="L15" s="136">
        <f t="shared" si="0"/>
        <v>0</v>
      </c>
      <c r="M15" s="143">
        <v>0</v>
      </c>
      <c r="N15" s="135">
        <v>0</v>
      </c>
      <c r="O15" s="136">
        <f t="shared" si="1"/>
        <v>0</v>
      </c>
      <c r="P15" s="2331"/>
      <c r="Q15" s="2337"/>
    </row>
    <row r="16" spans="1:18" ht="29" x14ac:dyDescent="0.35">
      <c r="A16" s="2364"/>
      <c r="B16" s="2343"/>
      <c r="C16" s="129" t="s">
        <v>921</v>
      </c>
      <c r="D16" s="130">
        <v>7</v>
      </c>
      <c r="E16" s="141" t="s">
        <v>937</v>
      </c>
      <c r="F16" s="131" t="s">
        <v>938</v>
      </c>
      <c r="G16" s="132" t="s">
        <v>939</v>
      </c>
      <c r="H16" s="133">
        <v>0</v>
      </c>
      <c r="I16" s="134">
        <v>0</v>
      </c>
      <c r="J16" s="134">
        <v>0</v>
      </c>
      <c r="K16" s="135">
        <v>0</v>
      </c>
      <c r="L16" s="136">
        <f t="shared" si="0"/>
        <v>0</v>
      </c>
      <c r="M16" s="133">
        <v>0</v>
      </c>
      <c r="N16" s="135">
        <v>0</v>
      </c>
      <c r="O16" s="136">
        <f t="shared" si="1"/>
        <v>0</v>
      </c>
      <c r="P16" s="2340"/>
      <c r="Q16" s="2341"/>
      <c r="R16" s="145"/>
    </row>
    <row r="17" spans="1:19" x14ac:dyDescent="0.35">
      <c r="A17" s="2364"/>
      <c r="B17" s="2343"/>
      <c r="C17" s="129" t="s">
        <v>921</v>
      </c>
      <c r="D17" s="130">
        <v>8</v>
      </c>
      <c r="E17" s="141" t="s">
        <v>936</v>
      </c>
      <c r="F17" s="146"/>
      <c r="G17" s="132"/>
      <c r="H17" s="133">
        <v>0</v>
      </c>
      <c r="I17" s="134">
        <v>0</v>
      </c>
      <c r="J17" s="134">
        <v>0</v>
      </c>
      <c r="K17" s="135">
        <v>0</v>
      </c>
      <c r="L17" s="136">
        <f t="shared" si="0"/>
        <v>0</v>
      </c>
      <c r="M17" s="133">
        <v>0</v>
      </c>
      <c r="N17" s="135">
        <v>0</v>
      </c>
      <c r="O17" s="136">
        <f t="shared" si="1"/>
        <v>0</v>
      </c>
      <c r="P17" s="2340"/>
      <c r="Q17" s="2341"/>
    </row>
    <row r="18" spans="1:19" ht="24.75" customHeight="1" x14ac:dyDescent="0.35">
      <c r="A18" s="2364"/>
      <c r="B18" s="2343"/>
      <c r="C18" s="129" t="s">
        <v>921</v>
      </c>
      <c r="D18" s="130">
        <v>9</v>
      </c>
      <c r="E18" s="141" t="s">
        <v>940</v>
      </c>
      <c r="F18" s="131" t="s">
        <v>938</v>
      </c>
      <c r="G18" s="132" t="s">
        <v>206</v>
      </c>
      <c r="H18" s="133">
        <v>0</v>
      </c>
      <c r="I18" s="134">
        <v>0</v>
      </c>
      <c r="J18" s="134">
        <v>0</v>
      </c>
      <c r="K18" s="135">
        <v>0</v>
      </c>
      <c r="L18" s="136">
        <f>SUM(H18:K18)</f>
        <v>0</v>
      </c>
      <c r="M18" s="143">
        <v>0</v>
      </c>
      <c r="N18" s="135">
        <v>0</v>
      </c>
      <c r="O18" s="136">
        <f t="shared" si="1"/>
        <v>0</v>
      </c>
      <c r="P18" s="2331" t="s">
        <v>941</v>
      </c>
      <c r="Q18" s="2337"/>
    </row>
    <row r="19" spans="1:19" x14ac:dyDescent="0.35">
      <c r="A19" s="2364"/>
      <c r="B19" s="2343"/>
      <c r="C19" s="129" t="s">
        <v>921</v>
      </c>
      <c r="D19" s="130">
        <v>10</v>
      </c>
      <c r="E19" s="141" t="s">
        <v>942</v>
      </c>
      <c r="F19" s="131" t="s">
        <v>943</v>
      </c>
      <c r="G19" s="132" t="s">
        <v>208</v>
      </c>
      <c r="H19" s="133">
        <v>0</v>
      </c>
      <c r="I19" s="134">
        <v>0</v>
      </c>
      <c r="J19" s="134">
        <v>0</v>
      </c>
      <c r="K19" s="135">
        <v>0</v>
      </c>
      <c r="L19" s="136">
        <f>SUM(H19:K19)</f>
        <v>0</v>
      </c>
      <c r="M19" s="133">
        <v>0</v>
      </c>
      <c r="N19" s="135">
        <v>0</v>
      </c>
      <c r="O19" s="136">
        <f t="shared" si="1"/>
        <v>0</v>
      </c>
      <c r="P19" s="2340"/>
      <c r="Q19" s="2341"/>
    </row>
    <row r="20" spans="1:19" x14ac:dyDescent="0.35">
      <c r="A20" s="2364"/>
      <c r="B20" s="2343"/>
      <c r="C20" s="129" t="s">
        <v>921</v>
      </c>
      <c r="D20" s="130">
        <v>11</v>
      </c>
      <c r="E20" s="141" t="s">
        <v>936</v>
      </c>
      <c r="F20" s="131"/>
      <c r="G20" s="132"/>
      <c r="H20" s="147">
        <v>0</v>
      </c>
      <c r="I20" s="148">
        <v>0</v>
      </c>
      <c r="J20" s="148">
        <v>0</v>
      </c>
      <c r="K20" s="135">
        <v>0</v>
      </c>
      <c r="L20" s="136">
        <f t="shared" si="0"/>
        <v>0</v>
      </c>
      <c r="M20" s="133">
        <v>0</v>
      </c>
      <c r="N20" s="135">
        <v>0</v>
      </c>
      <c r="O20" s="136">
        <f t="shared" si="1"/>
        <v>0</v>
      </c>
      <c r="P20" s="2340"/>
      <c r="Q20" s="2341"/>
    </row>
    <row r="21" spans="1:19" x14ac:dyDescent="0.35">
      <c r="A21" s="2364"/>
      <c r="B21" s="128"/>
      <c r="C21" s="129" t="s">
        <v>916</v>
      </c>
      <c r="D21" s="130">
        <v>12</v>
      </c>
      <c r="E21" s="141" t="s">
        <v>936</v>
      </c>
      <c r="F21" s="131"/>
      <c r="G21" s="132"/>
      <c r="H21" s="133">
        <v>0</v>
      </c>
      <c r="I21" s="134">
        <v>0</v>
      </c>
      <c r="J21" s="134">
        <v>0</v>
      </c>
      <c r="K21" s="135">
        <v>0</v>
      </c>
      <c r="L21" s="136">
        <f t="shared" si="0"/>
        <v>0</v>
      </c>
      <c r="M21" s="133">
        <v>0</v>
      </c>
      <c r="N21" s="135">
        <v>0</v>
      </c>
      <c r="O21" s="136">
        <f t="shared" si="1"/>
        <v>0</v>
      </c>
      <c r="P21" s="2335"/>
      <c r="Q21" s="2336"/>
    </row>
    <row r="22" spans="1:19" ht="22.15" customHeight="1" x14ac:dyDescent="0.35">
      <c r="A22" s="2364"/>
      <c r="B22" s="128"/>
      <c r="C22" s="129" t="s">
        <v>916</v>
      </c>
      <c r="D22" s="130">
        <v>13</v>
      </c>
      <c r="E22" s="149" t="s">
        <v>944</v>
      </c>
      <c r="F22" s="94" t="s">
        <v>918</v>
      </c>
      <c r="G22" s="132" t="s">
        <v>219</v>
      </c>
      <c r="H22" s="133">
        <v>0</v>
      </c>
      <c r="I22" s="134">
        <v>0</v>
      </c>
      <c r="J22" s="134">
        <v>0</v>
      </c>
      <c r="K22" s="135">
        <v>0</v>
      </c>
      <c r="L22" s="136">
        <f>SUM(H22:K22)</f>
        <v>0</v>
      </c>
      <c r="M22" s="133">
        <v>0</v>
      </c>
      <c r="N22" s="135">
        <v>0</v>
      </c>
      <c r="O22" s="136">
        <f t="shared" si="1"/>
        <v>0</v>
      </c>
      <c r="P22" s="2331" t="s">
        <v>945</v>
      </c>
      <c r="Q22" s="2332"/>
    </row>
    <row r="23" spans="1:19" x14ac:dyDescent="0.35">
      <c r="A23" s="2364"/>
      <c r="B23" s="128"/>
      <c r="C23" s="129" t="s">
        <v>916</v>
      </c>
      <c r="D23" s="130">
        <v>14</v>
      </c>
      <c r="E23" s="141" t="s">
        <v>946</v>
      </c>
      <c r="F23" s="141" t="s">
        <v>943</v>
      </c>
      <c r="G23" s="132" t="s">
        <v>217</v>
      </c>
      <c r="H23" s="133">
        <v>0</v>
      </c>
      <c r="I23" s="134">
        <v>0</v>
      </c>
      <c r="J23" s="134">
        <v>0</v>
      </c>
      <c r="K23" s="135">
        <v>0</v>
      </c>
      <c r="L23" s="136">
        <f t="shared" si="0"/>
        <v>0</v>
      </c>
      <c r="M23" s="143">
        <v>0</v>
      </c>
      <c r="N23" s="135">
        <v>0</v>
      </c>
      <c r="O23" s="136">
        <f t="shared" si="1"/>
        <v>0</v>
      </c>
      <c r="P23" s="2333"/>
      <c r="Q23" s="2334"/>
    </row>
    <row r="24" spans="1:19" x14ac:dyDescent="0.35">
      <c r="A24" s="2364"/>
      <c r="B24" s="128"/>
      <c r="C24" s="129" t="s">
        <v>921</v>
      </c>
      <c r="D24" s="130">
        <v>15</v>
      </c>
      <c r="E24" s="141" t="s">
        <v>947</v>
      </c>
      <c r="F24" s="141" t="s">
        <v>918</v>
      </c>
      <c r="G24" s="142"/>
      <c r="H24" s="133">
        <v>0</v>
      </c>
      <c r="I24" s="134">
        <v>0</v>
      </c>
      <c r="J24" s="134">
        <v>0</v>
      </c>
      <c r="K24" s="135">
        <v>0</v>
      </c>
      <c r="L24" s="136">
        <f t="shared" si="0"/>
        <v>0</v>
      </c>
      <c r="M24" s="133">
        <v>0</v>
      </c>
      <c r="N24" s="135">
        <v>0</v>
      </c>
      <c r="O24" s="136">
        <f>SUM(L24:N24)</f>
        <v>0</v>
      </c>
      <c r="P24" s="2335"/>
      <c r="Q24" s="2336"/>
    </row>
    <row r="25" spans="1:19" ht="75.75" customHeight="1" x14ac:dyDescent="0.35">
      <c r="A25" s="2364"/>
      <c r="B25" s="128" t="s">
        <v>948</v>
      </c>
      <c r="C25" s="129" t="s">
        <v>916</v>
      </c>
      <c r="D25" s="130">
        <v>16</v>
      </c>
      <c r="E25" s="141" t="s">
        <v>949</v>
      </c>
      <c r="F25" s="141" t="s">
        <v>918</v>
      </c>
      <c r="G25" s="132" t="s">
        <v>210</v>
      </c>
      <c r="H25" s="133">
        <v>0</v>
      </c>
      <c r="I25" s="134">
        <v>0</v>
      </c>
      <c r="J25" s="134">
        <v>0</v>
      </c>
      <c r="K25" s="135">
        <v>0</v>
      </c>
      <c r="L25" s="136">
        <f>SUM(H25:K25)</f>
        <v>0</v>
      </c>
      <c r="M25" s="133">
        <v>0</v>
      </c>
      <c r="N25" s="135">
        <v>0</v>
      </c>
      <c r="O25" s="136">
        <f>SUM(L25:N25)</f>
        <v>0</v>
      </c>
      <c r="P25" s="2366" t="s">
        <v>950</v>
      </c>
      <c r="Q25" s="2367"/>
      <c r="S25" s="1758"/>
    </row>
    <row r="26" spans="1:19" ht="25.5" customHeight="1" thickBot="1" x14ac:dyDescent="0.4">
      <c r="A26" s="2364"/>
      <c r="B26" s="144" t="s">
        <v>951</v>
      </c>
      <c r="C26" s="150" t="s">
        <v>916</v>
      </c>
      <c r="D26" s="151">
        <v>17</v>
      </c>
      <c r="E26" s="152" t="s">
        <v>952</v>
      </c>
      <c r="F26" s="152" t="s">
        <v>918</v>
      </c>
      <c r="G26" s="153" t="s">
        <v>212</v>
      </c>
      <c r="H26" s="154">
        <v>0</v>
      </c>
      <c r="I26" s="155">
        <v>0</v>
      </c>
      <c r="J26" s="155">
        <v>0</v>
      </c>
      <c r="K26" s="156">
        <v>0</v>
      </c>
      <c r="L26" s="157">
        <f>SUM(H26:K26)</f>
        <v>0</v>
      </c>
      <c r="M26" s="154">
        <v>0</v>
      </c>
      <c r="N26" s="156">
        <v>0</v>
      </c>
      <c r="O26" s="157">
        <f>SUM(L26:N26)</f>
        <v>0</v>
      </c>
      <c r="P26" s="2344"/>
      <c r="Q26" s="2345"/>
    </row>
    <row r="27" spans="1:19" ht="36" customHeight="1" thickBot="1" x14ac:dyDescent="0.4">
      <c r="A27" s="2365"/>
      <c r="B27" s="158"/>
      <c r="C27" s="159"/>
      <c r="D27" s="160">
        <v>18</v>
      </c>
      <c r="E27" s="161" t="s">
        <v>953</v>
      </c>
      <c r="F27" s="162"/>
      <c r="G27" s="163" t="s">
        <v>954</v>
      </c>
      <c r="H27" s="164">
        <f>SUM(H10:H26)</f>
        <v>0</v>
      </c>
      <c r="I27" s="165">
        <f>SUM(I10:I26)</f>
        <v>0</v>
      </c>
      <c r="J27" s="165">
        <f>SUM(J10:J26)</f>
        <v>0</v>
      </c>
      <c r="K27" s="166">
        <f>SUM(K10:K26)</f>
        <v>0</v>
      </c>
      <c r="L27" s="167">
        <f>SUM(H27:K27)</f>
        <v>0</v>
      </c>
      <c r="M27" s="164">
        <f>SUM(M10:M26)</f>
        <v>0</v>
      </c>
      <c r="N27" s="166">
        <f>SUM(N10:N26)</f>
        <v>0</v>
      </c>
      <c r="O27" s="167">
        <f>SUM(L27:N27)</f>
        <v>0</v>
      </c>
      <c r="P27" s="2338"/>
      <c r="Q27" s="2339"/>
    </row>
    <row r="28" spans="1:19" ht="15" thickBot="1" x14ac:dyDescent="0.4">
      <c r="A28" s="2368"/>
      <c r="B28" s="2369"/>
      <c r="C28" s="2369"/>
      <c r="D28" s="2369"/>
      <c r="E28" s="2369"/>
      <c r="F28" s="2369"/>
      <c r="G28" s="2369"/>
      <c r="H28" s="2369"/>
      <c r="I28" s="2369"/>
      <c r="J28" s="2369"/>
      <c r="K28" s="2369"/>
      <c r="L28" s="2369"/>
      <c r="M28" s="2369"/>
      <c r="N28" s="2369"/>
      <c r="O28" s="2369"/>
      <c r="P28" s="2369"/>
      <c r="Q28" s="2370"/>
    </row>
    <row r="29" spans="1:19" ht="12.75" customHeight="1" thickBot="1" x14ac:dyDescent="0.4">
      <c r="A29" s="2371" t="s">
        <v>955</v>
      </c>
      <c r="B29" s="2506"/>
      <c r="C29" s="2507"/>
      <c r="D29" s="2508"/>
      <c r="E29" s="1716" t="s">
        <v>955</v>
      </c>
      <c r="F29" s="2509"/>
      <c r="G29" s="2510"/>
      <c r="H29" s="2510"/>
      <c r="I29" s="2510"/>
      <c r="J29" s="2510"/>
      <c r="K29" s="2510"/>
      <c r="L29" s="2510"/>
      <c r="M29" s="2510"/>
      <c r="N29" s="2510"/>
      <c r="O29" s="2510"/>
      <c r="P29" s="2510"/>
      <c r="Q29" s="2511"/>
    </row>
    <row r="30" spans="1:19" ht="38.25" customHeight="1" x14ac:dyDescent="0.35">
      <c r="A30" s="2372"/>
      <c r="B30" s="2342" t="s">
        <v>956</v>
      </c>
      <c r="C30" s="120" t="s">
        <v>916</v>
      </c>
      <c r="D30" s="120">
        <v>19</v>
      </c>
      <c r="E30" s="168" t="s">
        <v>957</v>
      </c>
      <c r="F30" s="2113" t="s">
        <v>938</v>
      </c>
      <c r="G30" s="122" t="s">
        <v>411</v>
      </c>
      <c r="H30" s="123">
        <v>0</v>
      </c>
      <c r="I30" s="124">
        <v>0</v>
      </c>
      <c r="J30" s="124">
        <v>0</v>
      </c>
      <c r="K30" s="125">
        <v>0</v>
      </c>
      <c r="L30" s="126">
        <f t="shared" ref="L30:L35" si="2">SUM(H30:K30)</f>
        <v>0</v>
      </c>
      <c r="M30" s="169">
        <v>0</v>
      </c>
      <c r="N30" s="125">
        <v>0</v>
      </c>
      <c r="O30" s="126">
        <f t="shared" ref="O30:O35" si="3">SUM(L30:N30)</f>
        <v>0</v>
      </c>
      <c r="P30" s="2374" t="s">
        <v>958</v>
      </c>
      <c r="Q30" s="2375"/>
    </row>
    <row r="31" spans="1:19" x14ac:dyDescent="0.35">
      <c r="A31" s="2372"/>
      <c r="B31" s="2343"/>
      <c r="C31" s="170" t="s">
        <v>916</v>
      </c>
      <c r="D31" s="140">
        <v>20</v>
      </c>
      <c r="E31" s="141" t="s">
        <v>402</v>
      </c>
      <c r="F31" s="141" t="s">
        <v>918</v>
      </c>
      <c r="G31" s="132" t="s">
        <v>401</v>
      </c>
      <c r="H31" s="133">
        <v>0</v>
      </c>
      <c r="I31" s="134">
        <v>0</v>
      </c>
      <c r="J31" s="134">
        <v>0</v>
      </c>
      <c r="K31" s="135">
        <v>0</v>
      </c>
      <c r="L31" s="136">
        <f t="shared" si="2"/>
        <v>0</v>
      </c>
      <c r="M31" s="171">
        <v>0</v>
      </c>
      <c r="N31" s="135">
        <v>0</v>
      </c>
      <c r="O31" s="136">
        <f t="shared" si="3"/>
        <v>0</v>
      </c>
      <c r="P31" s="2335"/>
      <c r="Q31" s="2336"/>
    </row>
    <row r="32" spans="1:19" x14ac:dyDescent="0.35">
      <c r="A32" s="2372"/>
      <c r="B32" s="2343"/>
      <c r="C32" s="170" t="s">
        <v>916</v>
      </c>
      <c r="D32" s="140">
        <v>21</v>
      </c>
      <c r="E32" s="141" t="s">
        <v>936</v>
      </c>
      <c r="F32" s="131"/>
      <c r="G32" s="132"/>
      <c r="H32" s="133">
        <v>0</v>
      </c>
      <c r="I32" s="134">
        <v>0</v>
      </c>
      <c r="J32" s="134">
        <v>0</v>
      </c>
      <c r="K32" s="135">
        <v>0</v>
      </c>
      <c r="L32" s="136">
        <f t="shared" si="2"/>
        <v>0</v>
      </c>
      <c r="M32" s="171">
        <v>0</v>
      </c>
      <c r="N32" s="135">
        <v>0</v>
      </c>
      <c r="O32" s="136">
        <f t="shared" si="3"/>
        <v>0</v>
      </c>
      <c r="P32" s="2335"/>
      <c r="Q32" s="2336"/>
    </row>
    <row r="33" spans="1:20" x14ac:dyDescent="0.35">
      <c r="A33" s="2372"/>
      <c r="B33" s="128" t="s">
        <v>959</v>
      </c>
      <c r="C33" s="170" t="s">
        <v>916</v>
      </c>
      <c r="D33" s="140">
        <v>22</v>
      </c>
      <c r="E33" s="131" t="s">
        <v>960</v>
      </c>
      <c r="F33" s="131" t="s">
        <v>918</v>
      </c>
      <c r="G33" s="142"/>
      <c r="H33" s="133">
        <v>0</v>
      </c>
      <c r="I33" s="134">
        <v>0</v>
      </c>
      <c r="J33" s="134">
        <v>0</v>
      </c>
      <c r="K33" s="135">
        <v>0</v>
      </c>
      <c r="L33" s="136">
        <f t="shared" si="2"/>
        <v>0</v>
      </c>
      <c r="M33" s="171">
        <v>0</v>
      </c>
      <c r="N33" s="135">
        <v>0</v>
      </c>
      <c r="O33" s="136">
        <f t="shared" si="3"/>
        <v>0</v>
      </c>
      <c r="P33" s="2335"/>
      <c r="Q33" s="2336"/>
    </row>
    <row r="34" spans="1:20" ht="36" customHeight="1" thickBot="1" x14ac:dyDescent="0.4">
      <c r="A34" s="2372"/>
      <c r="B34" s="144" t="s">
        <v>959</v>
      </c>
      <c r="C34" s="172" t="s">
        <v>916</v>
      </c>
      <c r="D34" s="173">
        <v>23</v>
      </c>
      <c r="E34" s="174" t="s">
        <v>961</v>
      </c>
      <c r="F34" s="2114" t="s">
        <v>938</v>
      </c>
      <c r="G34" s="153" t="s">
        <v>962</v>
      </c>
      <c r="H34" s="154">
        <v>0</v>
      </c>
      <c r="I34" s="155">
        <v>0</v>
      </c>
      <c r="J34" s="155">
        <v>0</v>
      </c>
      <c r="K34" s="156">
        <v>0</v>
      </c>
      <c r="L34" s="157">
        <f t="shared" si="2"/>
        <v>0</v>
      </c>
      <c r="M34" s="175">
        <v>0</v>
      </c>
      <c r="N34" s="156">
        <v>0</v>
      </c>
      <c r="O34" s="157">
        <f t="shared" si="3"/>
        <v>0</v>
      </c>
      <c r="P34" s="2522" t="s">
        <v>963</v>
      </c>
      <c r="Q34" s="2523"/>
    </row>
    <row r="35" spans="1:20" ht="15" thickBot="1" x14ac:dyDescent="0.4">
      <c r="A35" s="2373"/>
      <c r="B35" s="176"/>
      <c r="C35" s="177"/>
      <c r="D35" s="178">
        <v>24</v>
      </c>
      <c r="E35" s="161" t="s">
        <v>964</v>
      </c>
      <c r="F35" s="161"/>
      <c r="G35" s="179"/>
      <c r="H35" s="164">
        <f>SUM(H30:H34)</f>
        <v>0</v>
      </c>
      <c r="I35" s="165">
        <f>SUM(I30:I34)</f>
        <v>0</v>
      </c>
      <c r="J35" s="165">
        <f>SUM(J30:J34)</f>
        <v>0</v>
      </c>
      <c r="K35" s="166">
        <f>SUM(K30:K34)</f>
        <v>0</v>
      </c>
      <c r="L35" s="167">
        <f t="shared" si="2"/>
        <v>0</v>
      </c>
      <c r="M35" s="180">
        <f>SUM(M30:M34)</f>
        <v>0</v>
      </c>
      <c r="N35" s="166">
        <f>SUM(N30:N34)</f>
        <v>0</v>
      </c>
      <c r="O35" s="167">
        <f t="shared" si="3"/>
        <v>0</v>
      </c>
      <c r="P35" s="2524"/>
      <c r="Q35" s="2525"/>
    </row>
    <row r="36" spans="1:20" ht="15" thickBot="1" x14ac:dyDescent="0.4">
      <c r="A36" s="2512"/>
      <c r="B36" s="2513"/>
      <c r="C36" s="2513"/>
      <c r="D36" s="2513"/>
      <c r="E36" s="2513"/>
      <c r="F36" s="2513"/>
      <c r="G36" s="2513"/>
      <c r="H36" s="2513"/>
      <c r="I36" s="2513"/>
      <c r="J36" s="2513"/>
      <c r="K36" s="2513"/>
      <c r="L36" s="2513"/>
      <c r="M36" s="2513"/>
      <c r="N36" s="2513"/>
      <c r="O36" s="2513"/>
      <c r="P36" s="2513"/>
      <c r="Q36" s="2514"/>
    </row>
    <row r="37" spans="1:20" s="181" customFormat="1" ht="12.75" customHeight="1" x14ac:dyDescent="0.35">
      <c r="A37" s="2397" t="s">
        <v>965</v>
      </c>
      <c r="B37" s="2516"/>
      <c r="C37" s="2517"/>
      <c r="D37" s="2518"/>
      <c r="E37" s="1717" t="s">
        <v>965</v>
      </c>
      <c r="F37" s="2519"/>
      <c r="G37" s="2520"/>
      <c r="H37" s="2520"/>
      <c r="I37" s="2520"/>
      <c r="J37" s="2520"/>
      <c r="K37" s="2520"/>
      <c r="L37" s="2520"/>
      <c r="M37" s="2520"/>
      <c r="N37" s="2520"/>
      <c r="O37" s="2520"/>
      <c r="P37" s="2520"/>
      <c r="Q37" s="2521"/>
    </row>
    <row r="38" spans="1:20" s="181" customFormat="1" ht="15" thickBot="1" x14ac:dyDescent="0.4">
      <c r="A38" s="2398"/>
      <c r="B38" s="2526"/>
      <c r="C38" s="2527"/>
      <c r="D38" s="2528"/>
      <c r="E38" s="1718" t="s">
        <v>914</v>
      </c>
      <c r="F38" s="2529"/>
      <c r="G38" s="2530"/>
      <c r="H38" s="2531"/>
      <c r="I38" s="2531"/>
      <c r="J38" s="2531"/>
      <c r="K38" s="2531"/>
      <c r="L38" s="2531"/>
      <c r="M38" s="2530"/>
      <c r="N38" s="2530"/>
      <c r="O38" s="2531"/>
      <c r="P38" s="2531"/>
      <c r="Q38" s="2532"/>
    </row>
    <row r="39" spans="1:20" s="181" customFormat="1" ht="120" customHeight="1" x14ac:dyDescent="0.35">
      <c r="A39" s="2398"/>
      <c r="B39" s="138" t="s">
        <v>966</v>
      </c>
      <c r="C39" s="140" t="s">
        <v>916</v>
      </c>
      <c r="D39" s="140">
        <v>25</v>
      </c>
      <c r="E39" s="2115" t="s">
        <v>967</v>
      </c>
      <c r="F39" s="182" t="s">
        <v>918</v>
      </c>
      <c r="G39" s="183" t="s">
        <v>968</v>
      </c>
      <c r="H39" s="184">
        <v>0</v>
      </c>
      <c r="I39" s="185">
        <v>0</v>
      </c>
      <c r="J39" s="185">
        <v>0</v>
      </c>
      <c r="K39" s="186">
        <v>0</v>
      </c>
      <c r="L39" s="187">
        <f t="shared" ref="L39:L46" si="4">SUM(H39:K39)</f>
        <v>0</v>
      </c>
      <c r="M39" s="188">
        <v>0</v>
      </c>
      <c r="N39" s="189">
        <v>0</v>
      </c>
      <c r="O39" s="187">
        <f t="shared" ref="O39:O54" si="5">SUM(L39:N39)</f>
        <v>0</v>
      </c>
      <c r="P39" s="2374" t="s">
        <v>1127</v>
      </c>
      <c r="Q39" s="2375"/>
      <c r="R39" s="190"/>
    </row>
    <row r="40" spans="1:20" s="181" customFormat="1" ht="48" customHeight="1" x14ac:dyDescent="0.35">
      <c r="A40" s="2398"/>
      <c r="B40" s="138" t="s">
        <v>969</v>
      </c>
      <c r="C40" s="140" t="s">
        <v>916</v>
      </c>
      <c r="D40" s="140">
        <v>26</v>
      </c>
      <c r="E40" s="191" t="s">
        <v>970</v>
      </c>
      <c r="F40" s="182" t="s">
        <v>918</v>
      </c>
      <c r="G40" s="183" t="s">
        <v>971</v>
      </c>
      <c r="H40" s="192">
        <v>0</v>
      </c>
      <c r="I40" s="193">
        <v>0</v>
      </c>
      <c r="J40" s="193">
        <v>0</v>
      </c>
      <c r="K40" s="194">
        <v>0</v>
      </c>
      <c r="L40" s="195">
        <f t="shared" si="4"/>
        <v>0</v>
      </c>
      <c r="M40" s="188">
        <v>0</v>
      </c>
      <c r="N40" s="189">
        <v>0</v>
      </c>
      <c r="O40" s="195">
        <f t="shared" si="5"/>
        <v>0</v>
      </c>
      <c r="P40" s="2331" t="s">
        <v>972</v>
      </c>
      <c r="Q40" s="2337"/>
      <c r="R40" s="2496"/>
      <c r="S40" s="2497"/>
      <c r="T40" s="2497"/>
    </row>
    <row r="41" spans="1:20" s="181" customFormat="1" x14ac:dyDescent="0.35">
      <c r="A41" s="2398"/>
      <c r="B41" s="138" t="s">
        <v>973</v>
      </c>
      <c r="C41" s="140" t="s">
        <v>916</v>
      </c>
      <c r="D41" s="140">
        <v>27</v>
      </c>
      <c r="E41" s="196" t="s">
        <v>974</v>
      </c>
      <c r="F41" s="182" t="s">
        <v>918</v>
      </c>
      <c r="G41" s="183"/>
      <c r="H41" s="192">
        <v>0</v>
      </c>
      <c r="I41" s="193">
        <v>0</v>
      </c>
      <c r="J41" s="193">
        <v>0</v>
      </c>
      <c r="K41" s="194">
        <v>0</v>
      </c>
      <c r="L41" s="195">
        <f t="shared" si="4"/>
        <v>0</v>
      </c>
      <c r="M41" s="188">
        <v>0</v>
      </c>
      <c r="N41" s="189">
        <v>0</v>
      </c>
      <c r="O41" s="195">
        <f t="shared" si="5"/>
        <v>0</v>
      </c>
      <c r="P41" s="2335"/>
      <c r="Q41" s="2336"/>
    </row>
    <row r="42" spans="1:20" s="181" customFormat="1" ht="25.5" customHeight="1" x14ac:dyDescent="0.35">
      <c r="A42" s="2398"/>
      <c r="B42" s="138" t="s">
        <v>975</v>
      </c>
      <c r="C42" s="140" t="s">
        <v>916</v>
      </c>
      <c r="D42" s="140">
        <v>28</v>
      </c>
      <c r="E42" s="196" t="s">
        <v>976</v>
      </c>
      <c r="F42" s="182" t="s">
        <v>918</v>
      </c>
      <c r="G42" s="183"/>
      <c r="H42" s="192">
        <v>0</v>
      </c>
      <c r="I42" s="193">
        <v>0</v>
      </c>
      <c r="J42" s="193">
        <v>0</v>
      </c>
      <c r="K42" s="194">
        <v>0</v>
      </c>
      <c r="L42" s="195">
        <f t="shared" si="4"/>
        <v>0</v>
      </c>
      <c r="M42" s="188">
        <v>0</v>
      </c>
      <c r="N42" s="189">
        <v>0</v>
      </c>
      <c r="O42" s="195">
        <f t="shared" si="5"/>
        <v>0</v>
      </c>
      <c r="P42" s="2331" t="s">
        <v>977</v>
      </c>
      <c r="Q42" s="2337"/>
    </row>
    <row r="43" spans="1:20" s="181" customFormat="1" ht="39" customHeight="1" x14ac:dyDescent="0.35">
      <c r="A43" s="2398"/>
      <c r="B43" s="138" t="s">
        <v>978</v>
      </c>
      <c r="C43" s="140" t="s">
        <v>979</v>
      </c>
      <c r="D43" s="140">
        <v>29</v>
      </c>
      <c r="E43" s="197" t="s">
        <v>980</v>
      </c>
      <c r="F43" s="182" t="s">
        <v>918</v>
      </c>
      <c r="G43" s="183" t="s">
        <v>386</v>
      </c>
      <c r="H43" s="192">
        <v>0</v>
      </c>
      <c r="I43" s="193">
        <v>0</v>
      </c>
      <c r="J43" s="193">
        <v>0</v>
      </c>
      <c r="K43" s="194">
        <v>0</v>
      </c>
      <c r="L43" s="195">
        <f t="shared" si="4"/>
        <v>0</v>
      </c>
      <c r="M43" s="188">
        <v>0</v>
      </c>
      <c r="N43" s="189">
        <v>0</v>
      </c>
      <c r="O43" s="195">
        <f t="shared" si="5"/>
        <v>0</v>
      </c>
      <c r="P43" s="2331" t="s">
        <v>981</v>
      </c>
      <c r="Q43" s="2337"/>
      <c r="R43" s="190"/>
    </row>
    <row r="44" spans="1:20" s="181" customFormat="1" x14ac:dyDescent="0.35">
      <c r="A44" s="2398"/>
      <c r="B44" s="138" t="s">
        <v>982</v>
      </c>
      <c r="C44" s="140" t="s">
        <v>916</v>
      </c>
      <c r="D44" s="140">
        <v>30</v>
      </c>
      <c r="E44" s="197" t="s">
        <v>983</v>
      </c>
      <c r="F44" s="182" t="s">
        <v>918</v>
      </c>
      <c r="G44" s="198"/>
      <c r="H44" s="192">
        <v>0</v>
      </c>
      <c r="I44" s="193">
        <v>0</v>
      </c>
      <c r="J44" s="193">
        <v>0</v>
      </c>
      <c r="K44" s="194">
        <v>0</v>
      </c>
      <c r="L44" s="195">
        <f t="shared" si="4"/>
        <v>0</v>
      </c>
      <c r="M44" s="188">
        <v>0</v>
      </c>
      <c r="N44" s="189">
        <v>0</v>
      </c>
      <c r="O44" s="195">
        <f t="shared" si="5"/>
        <v>0</v>
      </c>
      <c r="P44" s="2335"/>
      <c r="Q44" s="2336"/>
    </row>
    <row r="45" spans="1:20" s="181" customFormat="1" ht="72.75" customHeight="1" x14ac:dyDescent="0.35">
      <c r="A45" s="2398"/>
      <c r="B45" s="138" t="s">
        <v>984</v>
      </c>
      <c r="C45" s="140" t="s">
        <v>916</v>
      </c>
      <c r="D45" s="140">
        <v>31</v>
      </c>
      <c r="E45" s="197" t="s">
        <v>985</v>
      </c>
      <c r="F45" s="182" t="s">
        <v>918</v>
      </c>
      <c r="G45" s="198"/>
      <c r="H45" s="192">
        <v>0</v>
      </c>
      <c r="I45" s="193">
        <v>0</v>
      </c>
      <c r="J45" s="193">
        <v>0</v>
      </c>
      <c r="K45" s="194">
        <v>0</v>
      </c>
      <c r="L45" s="195">
        <f t="shared" si="4"/>
        <v>0</v>
      </c>
      <c r="M45" s="188">
        <v>0</v>
      </c>
      <c r="N45" s="189">
        <v>0</v>
      </c>
      <c r="O45" s="195">
        <f t="shared" si="5"/>
        <v>0</v>
      </c>
      <c r="P45" s="2331" t="s">
        <v>986</v>
      </c>
      <c r="Q45" s="2337"/>
    </row>
    <row r="46" spans="1:20" s="181" customFormat="1" ht="52.5" customHeight="1" x14ac:dyDescent="0.35">
      <c r="A46" s="2398"/>
      <c r="B46" s="199" t="s">
        <v>987</v>
      </c>
      <c r="C46" s="140" t="s">
        <v>916</v>
      </c>
      <c r="D46" s="140">
        <v>32</v>
      </c>
      <c r="E46" s="197" t="s">
        <v>988</v>
      </c>
      <c r="F46" s="182" t="s">
        <v>918</v>
      </c>
      <c r="G46" s="200" t="s">
        <v>305</v>
      </c>
      <c r="H46" s="192">
        <v>0</v>
      </c>
      <c r="I46" s="193">
        <v>0</v>
      </c>
      <c r="J46" s="193">
        <v>0</v>
      </c>
      <c r="K46" s="194">
        <v>0</v>
      </c>
      <c r="L46" s="195">
        <f t="shared" si="4"/>
        <v>0</v>
      </c>
      <c r="M46" s="188">
        <v>0</v>
      </c>
      <c r="N46" s="189">
        <v>0</v>
      </c>
      <c r="O46" s="195">
        <f t="shared" si="5"/>
        <v>0</v>
      </c>
      <c r="P46" s="2366" t="s">
        <v>989</v>
      </c>
      <c r="Q46" s="2367"/>
    </row>
    <row r="47" spans="1:20" s="181" customFormat="1" ht="34.5" customHeight="1" thickBot="1" x14ac:dyDescent="0.4">
      <c r="A47" s="2398"/>
      <c r="B47" s="201" t="s">
        <v>951</v>
      </c>
      <c r="C47" s="202" t="s">
        <v>916</v>
      </c>
      <c r="D47" s="202">
        <v>33</v>
      </c>
      <c r="E47" s="203" t="s">
        <v>990</v>
      </c>
      <c r="F47" s="204" t="s">
        <v>918</v>
      </c>
      <c r="G47" s="205" t="s">
        <v>307</v>
      </c>
      <c r="H47" s="206">
        <v>0</v>
      </c>
      <c r="I47" s="207">
        <v>0</v>
      </c>
      <c r="J47" s="207">
        <v>0</v>
      </c>
      <c r="K47" s="208">
        <v>0</v>
      </c>
      <c r="L47" s="209">
        <f t="shared" ref="L47" si="6">SUM(H47:K47)</f>
        <v>0</v>
      </c>
      <c r="M47" s="210">
        <v>0</v>
      </c>
      <c r="N47" s="211">
        <v>0</v>
      </c>
      <c r="O47" s="209">
        <f t="shared" ref="O47" si="7">SUM(L47:N47)</f>
        <v>0</v>
      </c>
      <c r="P47" s="2344"/>
      <c r="Q47" s="2345"/>
    </row>
    <row r="48" spans="1:20" s="181" customFormat="1" ht="15" thickBot="1" x14ac:dyDescent="0.4">
      <c r="A48" s="2398"/>
      <c r="B48" s="2498"/>
      <c r="C48" s="2499"/>
      <c r="D48" s="2500"/>
      <c r="E48" s="1719" t="s">
        <v>991</v>
      </c>
      <c r="F48" s="2501"/>
      <c r="G48" s="2502"/>
      <c r="H48" s="2503"/>
      <c r="I48" s="2503"/>
      <c r="J48" s="2503"/>
      <c r="K48" s="2503"/>
      <c r="L48" s="2503"/>
      <c r="M48" s="2503"/>
      <c r="N48" s="2503"/>
      <c r="O48" s="2503"/>
      <c r="P48" s="2503"/>
      <c r="Q48" s="1760"/>
    </row>
    <row r="49" spans="1:17" s="181" customFormat="1" x14ac:dyDescent="0.35">
      <c r="A49" s="2398"/>
      <c r="B49" s="212" t="s">
        <v>992</v>
      </c>
      <c r="C49" s="140" t="s">
        <v>979</v>
      </c>
      <c r="D49" s="140">
        <v>34</v>
      </c>
      <c r="E49" s="182" t="s">
        <v>349</v>
      </c>
      <c r="F49" s="182" t="s">
        <v>918</v>
      </c>
      <c r="G49" s="183" t="s">
        <v>348</v>
      </c>
      <c r="H49" s="184">
        <v>0</v>
      </c>
      <c r="I49" s="185">
        <v>0</v>
      </c>
      <c r="J49" s="185">
        <v>0</v>
      </c>
      <c r="K49" s="213">
        <v>0</v>
      </c>
      <c r="L49" s="187">
        <f t="shared" ref="L49:L54" si="8">SUM(H49:K49)</f>
        <v>0</v>
      </c>
      <c r="M49" s="214">
        <v>0</v>
      </c>
      <c r="N49" s="186">
        <v>0</v>
      </c>
      <c r="O49" s="187">
        <f t="shared" ref="O49" si="9">SUM(L49:N49)</f>
        <v>0</v>
      </c>
      <c r="P49" s="2504" t="s">
        <v>993</v>
      </c>
      <c r="Q49" s="2505"/>
    </row>
    <row r="50" spans="1:17" s="181" customFormat="1" ht="12.75" customHeight="1" x14ac:dyDescent="0.35">
      <c r="A50" s="2398"/>
      <c r="B50" s="212" t="s">
        <v>994</v>
      </c>
      <c r="C50" s="140" t="s">
        <v>979</v>
      </c>
      <c r="D50" s="140">
        <v>35</v>
      </c>
      <c r="E50" s="196" t="s">
        <v>995</v>
      </c>
      <c r="F50" s="182" t="s">
        <v>918</v>
      </c>
      <c r="G50" s="183" t="s">
        <v>996</v>
      </c>
      <c r="H50" s="192">
        <v>0</v>
      </c>
      <c r="I50" s="193">
        <v>0</v>
      </c>
      <c r="J50" s="193">
        <v>0</v>
      </c>
      <c r="K50" s="189">
        <v>0</v>
      </c>
      <c r="L50" s="195">
        <f t="shared" si="8"/>
        <v>0</v>
      </c>
      <c r="M50" s="188">
        <v>0</v>
      </c>
      <c r="N50" s="194">
        <v>0</v>
      </c>
      <c r="O50" s="195">
        <f t="shared" si="5"/>
        <v>0</v>
      </c>
      <c r="P50" s="2335" t="s">
        <v>993</v>
      </c>
      <c r="Q50" s="2336"/>
    </row>
    <row r="51" spans="1:17" s="181" customFormat="1" ht="12.75" customHeight="1" x14ac:dyDescent="0.35">
      <c r="A51" s="2398"/>
      <c r="B51" s="212" t="s">
        <v>997</v>
      </c>
      <c r="C51" s="140" t="s">
        <v>979</v>
      </c>
      <c r="D51" s="140">
        <v>36</v>
      </c>
      <c r="E51" s="196" t="s">
        <v>998</v>
      </c>
      <c r="F51" s="182" t="s">
        <v>918</v>
      </c>
      <c r="G51" s="183" t="s">
        <v>354</v>
      </c>
      <c r="H51" s="192">
        <v>0</v>
      </c>
      <c r="I51" s="193">
        <v>0</v>
      </c>
      <c r="J51" s="193">
        <v>0</v>
      </c>
      <c r="K51" s="189">
        <v>0</v>
      </c>
      <c r="L51" s="195">
        <f t="shared" si="8"/>
        <v>0</v>
      </c>
      <c r="M51" s="188">
        <v>0</v>
      </c>
      <c r="N51" s="194">
        <v>0</v>
      </c>
      <c r="O51" s="195">
        <f t="shared" si="5"/>
        <v>0</v>
      </c>
      <c r="P51" s="2335" t="s">
        <v>993</v>
      </c>
      <c r="Q51" s="2336"/>
    </row>
    <row r="52" spans="1:17" s="181" customFormat="1" x14ac:dyDescent="0.35">
      <c r="A52" s="2398"/>
      <c r="B52" s="212"/>
      <c r="C52" s="140" t="s">
        <v>979</v>
      </c>
      <c r="D52" s="140">
        <v>37</v>
      </c>
      <c r="E52" s="196" t="s">
        <v>999</v>
      </c>
      <c r="F52" s="182" t="s">
        <v>918</v>
      </c>
      <c r="G52" s="183" t="s">
        <v>1000</v>
      </c>
      <c r="H52" s="215">
        <v>0</v>
      </c>
      <c r="I52" s="216">
        <v>0</v>
      </c>
      <c r="J52" s="216">
        <v>0</v>
      </c>
      <c r="K52" s="217">
        <v>0</v>
      </c>
      <c r="L52" s="218">
        <f t="shared" si="8"/>
        <v>0</v>
      </c>
      <c r="M52" s="219">
        <v>0</v>
      </c>
      <c r="N52" s="220">
        <v>0</v>
      </c>
      <c r="O52" s="218">
        <f t="shared" si="5"/>
        <v>0</v>
      </c>
      <c r="P52" s="2331" t="s">
        <v>993</v>
      </c>
      <c r="Q52" s="2332"/>
    </row>
    <row r="53" spans="1:17" s="181" customFormat="1" ht="29.5" thickBot="1" x14ac:dyDescent="0.4">
      <c r="A53" s="2398"/>
      <c r="B53" s="221" t="s">
        <v>1001</v>
      </c>
      <c r="C53" s="173" t="s">
        <v>979</v>
      </c>
      <c r="D53" s="173">
        <v>38</v>
      </c>
      <c r="E53" s="222" t="s">
        <v>1002</v>
      </c>
      <c r="F53" s="223" t="s">
        <v>918</v>
      </c>
      <c r="G53" s="224" t="s">
        <v>350</v>
      </c>
      <c r="H53" s="206">
        <v>0</v>
      </c>
      <c r="I53" s="207">
        <v>0</v>
      </c>
      <c r="J53" s="207">
        <v>0</v>
      </c>
      <c r="K53" s="211">
        <v>0</v>
      </c>
      <c r="L53" s="225">
        <f t="shared" si="8"/>
        <v>0</v>
      </c>
      <c r="M53" s="210">
        <v>0</v>
      </c>
      <c r="N53" s="208">
        <v>0</v>
      </c>
      <c r="O53" s="226">
        <f t="shared" si="5"/>
        <v>0</v>
      </c>
      <c r="P53" s="2381" t="s">
        <v>993</v>
      </c>
      <c r="Q53" s="2382"/>
    </row>
    <row r="54" spans="1:17" s="181" customFormat="1" ht="15" thickBot="1" x14ac:dyDescent="0.4">
      <c r="A54" s="2515"/>
      <c r="B54" s="227"/>
      <c r="C54" s="228"/>
      <c r="D54" s="178">
        <v>39</v>
      </c>
      <c r="E54" s="229" t="s">
        <v>1003</v>
      </c>
      <c r="F54" s="229"/>
      <c r="G54" s="230"/>
      <c r="H54" s="231">
        <f>SUM(H39:H53)</f>
        <v>0</v>
      </c>
      <c r="I54" s="232">
        <f>SUM(I39:I53)</f>
        <v>0</v>
      </c>
      <c r="J54" s="232">
        <f>SUM(J39:J53)</f>
        <v>0</v>
      </c>
      <c r="K54" s="233">
        <f>SUM(K39:K53)</f>
        <v>0</v>
      </c>
      <c r="L54" s="234">
        <f t="shared" si="8"/>
        <v>0</v>
      </c>
      <c r="M54" s="235">
        <f>SUM(M39:M53)</f>
        <v>0</v>
      </c>
      <c r="N54" s="236">
        <f>SUM(N39:N53)</f>
        <v>0</v>
      </c>
      <c r="O54" s="234">
        <f t="shared" si="5"/>
        <v>0</v>
      </c>
      <c r="P54" s="2383"/>
      <c r="Q54" s="2384"/>
    </row>
    <row r="55" spans="1:17" ht="12.75" customHeight="1" thickBot="1" x14ac:dyDescent="0.4">
      <c r="A55" s="2360"/>
      <c r="B55" s="2361"/>
      <c r="C55" s="2361"/>
      <c r="D55" s="2361"/>
      <c r="E55" s="2361"/>
      <c r="F55" s="2361"/>
      <c r="G55" s="2361"/>
      <c r="H55" s="2361"/>
      <c r="I55" s="2361"/>
      <c r="J55" s="2361"/>
      <c r="K55" s="2361"/>
      <c r="L55" s="2361"/>
      <c r="M55" s="2361"/>
      <c r="N55" s="2361"/>
      <c r="O55" s="2361"/>
      <c r="P55" s="2361"/>
      <c r="Q55" s="2362"/>
    </row>
    <row r="56" spans="1:17" ht="12.75" customHeight="1" thickBot="1" x14ac:dyDescent="0.4">
      <c r="A56" s="2385" t="s">
        <v>1004</v>
      </c>
      <c r="B56" s="2388"/>
      <c r="C56" s="2389"/>
      <c r="D56" s="2390"/>
      <c r="E56" s="1714" t="s">
        <v>1005</v>
      </c>
      <c r="F56" s="2391"/>
      <c r="G56" s="2392"/>
      <c r="H56" s="2353"/>
      <c r="I56" s="2353"/>
      <c r="J56" s="2353"/>
      <c r="K56" s="2353"/>
      <c r="L56" s="2353"/>
      <c r="M56" s="2392"/>
      <c r="N56" s="2392"/>
      <c r="O56" s="2353"/>
      <c r="P56" s="2353"/>
      <c r="Q56" s="2354"/>
    </row>
    <row r="57" spans="1:17" ht="29.25" customHeight="1" x14ac:dyDescent="0.35">
      <c r="A57" s="2386"/>
      <c r="B57" s="237"/>
      <c r="C57" s="140" t="s">
        <v>916</v>
      </c>
      <c r="D57" s="140">
        <v>40</v>
      </c>
      <c r="E57" s="182" t="s">
        <v>361</v>
      </c>
      <c r="F57" s="182" t="s">
        <v>918</v>
      </c>
      <c r="G57" s="238" t="s">
        <v>360</v>
      </c>
      <c r="H57" s="184">
        <v>0</v>
      </c>
      <c r="I57" s="185">
        <v>0</v>
      </c>
      <c r="J57" s="185">
        <v>0</v>
      </c>
      <c r="K57" s="213">
        <v>0</v>
      </c>
      <c r="L57" s="187">
        <f t="shared" ref="L57:L77" si="10">SUM(H57:K57)</f>
        <v>0</v>
      </c>
      <c r="M57" s="188">
        <v>0</v>
      </c>
      <c r="N57" s="189">
        <v>0</v>
      </c>
      <c r="O57" s="187">
        <f t="shared" ref="O57:O77" si="11">SUM(L57:N57)</f>
        <v>0</v>
      </c>
      <c r="P57" s="2374" t="s">
        <v>1006</v>
      </c>
      <c r="Q57" s="2375"/>
    </row>
    <row r="58" spans="1:17" x14ac:dyDescent="0.35">
      <c r="A58" s="2386"/>
      <c r="B58" s="237"/>
      <c r="C58" s="140" t="s">
        <v>916</v>
      </c>
      <c r="D58" s="140">
        <v>41</v>
      </c>
      <c r="E58" s="182" t="s">
        <v>542</v>
      </c>
      <c r="F58" s="182" t="s">
        <v>918</v>
      </c>
      <c r="G58" s="238" t="s">
        <v>362</v>
      </c>
      <c r="H58" s="192">
        <v>0</v>
      </c>
      <c r="I58" s="193">
        <v>0</v>
      </c>
      <c r="J58" s="193">
        <v>0</v>
      </c>
      <c r="K58" s="189">
        <v>0</v>
      </c>
      <c r="L58" s="195">
        <f t="shared" si="10"/>
        <v>0</v>
      </c>
      <c r="M58" s="188">
        <v>0</v>
      </c>
      <c r="N58" s="189">
        <v>0</v>
      </c>
      <c r="O58" s="195">
        <f t="shared" si="11"/>
        <v>0</v>
      </c>
      <c r="P58" s="2376"/>
      <c r="Q58" s="2377"/>
    </row>
    <row r="59" spans="1:17" x14ac:dyDescent="0.35">
      <c r="A59" s="2386"/>
      <c r="B59" s="237"/>
      <c r="C59" s="140" t="s">
        <v>916</v>
      </c>
      <c r="D59" s="140">
        <v>42</v>
      </c>
      <c r="E59" s="182" t="s">
        <v>543</v>
      </c>
      <c r="F59" s="182" t="s">
        <v>918</v>
      </c>
      <c r="G59" s="238" t="s">
        <v>364</v>
      </c>
      <c r="H59" s="192">
        <v>0</v>
      </c>
      <c r="I59" s="193">
        <v>0</v>
      </c>
      <c r="J59" s="193">
        <v>0</v>
      </c>
      <c r="K59" s="189">
        <v>0</v>
      </c>
      <c r="L59" s="195">
        <f t="shared" si="10"/>
        <v>0</v>
      </c>
      <c r="M59" s="188">
        <v>0</v>
      </c>
      <c r="N59" s="189">
        <v>0</v>
      </c>
      <c r="O59" s="195">
        <f t="shared" si="11"/>
        <v>0</v>
      </c>
      <c r="P59" s="2376"/>
      <c r="Q59" s="2377"/>
    </row>
    <row r="60" spans="1:17" ht="29" x14ac:dyDescent="0.35">
      <c r="A60" s="2386"/>
      <c r="B60" s="237"/>
      <c r="C60" s="140" t="s">
        <v>916</v>
      </c>
      <c r="D60" s="140">
        <v>43</v>
      </c>
      <c r="E60" s="239" t="s">
        <v>1007</v>
      </c>
      <c r="F60" s="182" t="s">
        <v>918</v>
      </c>
      <c r="G60" s="238" t="s">
        <v>366</v>
      </c>
      <c r="H60" s="192">
        <v>0</v>
      </c>
      <c r="I60" s="193">
        <v>0</v>
      </c>
      <c r="J60" s="193">
        <v>0</v>
      </c>
      <c r="K60" s="189">
        <v>0</v>
      </c>
      <c r="L60" s="195">
        <f t="shared" si="10"/>
        <v>0</v>
      </c>
      <c r="M60" s="188">
        <v>0</v>
      </c>
      <c r="N60" s="189">
        <v>0</v>
      </c>
      <c r="O60" s="195">
        <f t="shared" si="11"/>
        <v>0</v>
      </c>
      <c r="P60" s="2376"/>
      <c r="Q60" s="2377"/>
    </row>
    <row r="61" spans="1:17" ht="35.25" customHeight="1" x14ac:dyDescent="0.35">
      <c r="A61" s="2386"/>
      <c r="B61" s="237"/>
      <c r="C61" s="140" t="s">
        <v>916</v>
      </c>
      <c r="D61" s="140">
        <v>44</v>
      </c>
      <c r="E61" s="182" t="s">
        <v>369</v>
      </c>
      <c r="F61" s="182" t="s">
        <v>918</v>
      </c>
      <c r="G61" s="238" t="s">
        <v>368</v>
      </c>
      <c r="H61" s="192">
        <v>0</v>
      </c>
      <c r="I61" s="193">
        <v>0</v>
      </c>
      <c r="J61" s="193">
        <v>0</v>
      </c>
      <c r="K61" s="189">
        <v>0</v>
      </c>
      <c r="L61" s="195">
        <f t="shared" si="10"/>
        <v>0</v>
      </c>
      <c r="M61" s="188">
        <v>0</v>
      </c>
      <c r="N61" s="189">
        <v>0</v>
      </c>
      <c r="O61" s="195">
        <f t="shared" si="11"/>
        <v>0</v>
      </c>
      <c r="P61" s="2331" t="s">
        <v>1008</v>
      </c>
      <c r="Q61" s="2337"/>
    </row>
    <row r="62" spans="1:17" x14ac:dyDescent="0.35">
      <c r="A62" s="2386"/>
      <c r="B62" s="237"/>
      <c r="C62" s="140" t="s">
        <v>916</v>
      </c>
      <c r="D62" s="140">
        <v>45</v>
      </c>
      <c r="E62" s="182" t="s">
        <v>371</v>
      </c>
      <c r="F62" s="182" t="s">
        <v>918</v>
      </c>
      <c r="G62" s="238" t="s">
        <v>370</v>
      </c>
      <c r="H62" s="192">
        <v>0</v>
      </c>
      <c r="I62" s="193">
        <v>0</v>
      </c>
      <c r="J62" s="193">
        <v>0</v>
      </c>
      <c r="K62" s="189">
        <v>0</v>
      </c>
      <c r="L62" s="195">
        <f t="shared" si="10"/>
        <v>0</v>
      </c>
      <c r="M62" s="188">
        <v>0</v>
      </c>
      <c r="N62" s="189">
        <v>0</v>
      </c>
      <c r="O62" s="195">
        <f t="shared" si="11"/>
        <v>0</v>
      </c>
      <c r="P62" s="2376"/>
      <c r="Q62" s="2377"/>
    </row>
    <row r="63" spans="1:17" x14ac:dyDescent="0.35">
      <c r="A63" s="2386"/>
      <c r="B63" s="237"/>
      <c r="C63" s="140" t="s">
        <v>916</v>
      </c>
      <c r="D63" s="140">
        <v>46</v>
      </c>
      <c r="E63" s="182" t="s">
        <v>373</v>
      </c>
      <c r="F63" s="182" t="s">
        <v>918</v>
      </c>
      <c r="G63" s="238" t="s">
        <v>372</v>
      </c>
      <c r="H63" s="192">
        <v>0</v>
      </c>
      <c r="I63" s="193">
        <v>0</v>
      </c>
      <c r="J63" s="193">
        <v>0</v>
      </c>
      <c r="K63" s="189">
        <v>0</v>
      </c>
      <c r="L63" s="195">
        <f t="shared" si="10"/>
        <v>0</v>
      </c>
      <c r="M63" s="188">
        <v>0</v>
      </c>
      <c r="N63" s="189">
        <v>0</v>
      </c>
      <c r="O63" s="195">
        <f t="shared" si="11"/>
        <v>0</v>
      </c>
      <c r="P63" s="2376"/>
      <c r="Q63" s="2377"/>
    </row>
    <row r="64" spans="1:17" x14ac:dyDescent="0.35">
      <c r="A64" s="2386"/>
      <c r="B64" s="237"/>
      <c r="C64" s="140" t="s">
        <v>916</v>
      </c>
      <c r="D64" s="140">
        <v>47</v>
      </c>
      <c r="E64" s="182" t="s">
        <v>375</v>
      </c>
      <c r="F64" s="182" t="s">
        <v>918</v>
      </c>
      <c r="G64" s="238" t="s">
        <v>374</v>
      </c>
      <c r="H64" s="192">
        <v>0</v>
      </c>
      <c r="I64" s="193">
        <v>0</v>
      </c>
      <c r="J64" s="193">
        <v>0</v>
      </c>
      <c r="K64" s="189">
        <v>0</v>
      </c>
      <c r="L64" s="195">
        <f t="shared" si="10"/>
        <v>0</v>
      </c>
      <c r="M64" s="188">
        <v>0</v>
      </c>
      <c r="N64" s="189">
        <v>0</v>
      </c>
      <c r="O64" s="195">
        <f t="shared" si="11"/>
        <v>0</v>
      </c>
      <c r="P64" s="2376"/>
      <c r="Q64" s="2377"/>
    </row>
    <row r="65" spans="1:17" x14ac:dyDescent="0.35">
      <c r="A65" s="2386"/>
      <c r="B65" s="237"/>
      <c r="C65" s="140" t="s">
        <v>916</v>
      </c>
      <c r="D65" s="140">
        <v>48</v>
      </c>
      <c r="E65" s="182" t="s">
        <v>377</v>
      </c>
      <c r="F65" s="182" t="s">
        <v>918</v>
      </c>
      <c r="G65" s="238" t="s">
        <v>376</v>
      </c>
      <c r="H65" s="192">
        <v>0</v>
      </c>
      <c r="I65" s="193">
        <v>0</v>
      </c>
      <c r="J65" s="193">
        <v>0</v>
      </c>
      <c r="K65" s="189">
        <v>0</v>
      </c>
      <c r="L65" s="195">
        <f t="shared" si="10"/>
        <v>0</v>
      </c>
      <c r="M65" s="188">
        <v>0</v>
      </c>
      <c r="N65" s="189">
        <v>0</v>
      </c>
      <c r="O65" s="195">
        <f t="shared" si="11"/>
        <v>0</v>
      </c>
      <c r="P65" s="2376"/>
      <c r="Q65" s="2377"/>
    </row>
    <row r="66" spans="1:17" x14ac:dyDescent="0.35">
      <c r="A66" s="2386"/>
      <c r="B66" s="237"/>
      <c r="C66" s="140" t="s">
        <v>916</v>
      </c>
      <c r="D66" s="140">
        <v>49</v>
      </c>
      <c r="E66" s="182" t="s">
        <v>379</v>
      </c>
      <c r="F66" s="182" t="s">
        <v>918</v>
      </c>
      <c r="G66" s="183" t="s">
        <v>378</v>
      </c>
      <c r="H66" s="192">
        <v>0</v>
      </c>
      <c r="I66" s="193">
        <v>0</v>
      </c>
      <c r="J66" s="193">
        <v>0</v>
      </c>
      <c r="K66" s="189">
        <v>0</v>
      </c>
      <c r="L66" s="195">
        <f t="shared" si="10"/>
        <v>0</v>
      </c>
      <c r="M66" s="188">
        <v>0</v>
      </c>
      <c r="N66" s="189">
        <v>0</v>
      </c>
      <c r="O66" s="195">
        <f t="shared" si="11"/>
        <v>0</v>
      </c>
      <c r="P66" s="2376"/>
      <c r="Q66" s="2377"/>
    </row>
    <row r="67" spans="1:17" x14ac:dyDescent="0.35">
      <c r="A67" s="2386"/>
      <c r="B67" s="237"/>
      <c r="C67" s="140" t="s">
        <v>916</v>
      </c>
      <c r="D67" s="140">
        <v>50</v>
      </c>
      <c r="E67" s="182" t="s">
        <v>381</v>
      </c>
      <c r="F67" s="182" t="s">
        <v>918</v>
      </c>
      <c r="G67" s="183" t="s">
        <v>380</v>
      </c>
      <c r="H67" s="192">
        <v>0</v>
      </c>
      <c r="I67" s="193">
        <v>0</v>
      </c>
      <c r="J67" s="193">
        <v>0</v>
      </c>
      <c r="K67" s="189">
        <v>0</v>
      </c>
      <c r="L67" s="195">
        <f t="shared" si="10"/>
        <v>0</v>
      </c>
      <c r="M67" s="188">
        <v>0</v>
      </c>
      <c r="N67" s="189">
        <v>0</v>
      </c>
      <c r="O67" s="195">
        <f t="shared" si="11"/>
        <v>0</v>
      </c>
      <c r="P67" s="2376"/>
      <c r="Q67" s="2377"/>
    </row>
    <row r="68" spans="1:17" x14ac:dyDescent="0.35">
      <c r="A68" s="2386"/>
      <c r="B68" s="237"/>
      <c r="C68" s="140" t="s">
        <v>916</v>
      </c>
      <c r="D68" s="140">
        <v>51</v>
      </c>
      <c r="E68" s="182" t="s">
        <v>544</v>
      </c>
      <c r="F68" s="182" t="s">
        <v>918</v>
      </c>
      <c r="G68" s="183" t="s">
        <v>382</v>
      </c>
      <c r="H68" s="192">
        <v>0</v>
      </c>
      <c r="I68" s="193">
        <v>0</v>
      </c>
      <c r="J68" s="193">
        <v>0</v>
      </c>
      <c r="K68" s="189">
        <v>0</v>
      </c>
      <c r="L68" s="195">
        <f t="shared" si="10"/>
        <v>0</v>
      </c>
      <c r="M68" s="188">
        <v>0</v>
      </c>
      <c r="N68" s="189">
        <v>0</v>
      </c>
      <c r="O68" s="195">
        <f t="shared" si="11"/>
        <v>0</v>
      </c>
      <c r="P68" s="2376"/>
      <c r="Q68" s="2377"/>
    </row>
    <row r="69" spans="1:17" x14ac:dyDescent="0.35">
      <c r="A69" s="2386"/>
      <c r="B69" s="237"/>
      <c r="C69" s="140" t="s">
        <v>916</v>
      </c>
      <c r="D69" s="140">
        <v>52</v>
      </c>
      <c r="E69" s="182" t="s">
        <v>385</v>
      </c>
      <c r="F69" s="182" t="s">
        <v>918</v>
      </c>
      <c r="G69" s="238" t="s">
        <v>384</v>
      </c>
      <c r="H69" s="192">
        <v>0</v>
      </c>
      <c r="I69" s="193">
        <v>0</v>
      </c>
      <c r="J69" s="193">
        <v>0</v>
      </c>
      <c r="K69" s="189">
        <v>0</v>
      </c>
      <c r="L69" s="195">
        <f>SUM(H69:K69)</f>
        <v>0</v>
      </c>
      <c r="M69" s="188">
        <v>0</v>
      </c>
      <c r="N69" s="189">
        <v>0</v>
      </c>
      <c r="O69" s="195">
        <f t="shared" si="11"/>
        <v>0</v>
      </c>
      <c r="P69" s="2376"/>
      <c r="Q69" s="2377"/>
    </row>
    <row r="70" spans="1:17" ht="29" x14ac:dyDescent="0.35">
      <c r="A70" s="2386"/>
      <c r="B70" s="138" t="s">
        <v>1009</v>
      </c>
      <c r="C70" s="140" t="s">
        <v>916</v>
      </c>
      <c r="D70" s="140">
        <v>53</v>
      </c>
      <c r="E70" s="182" t="s">
        <v>1010</v>
      </c>
      <c r="F70" s="182" t="s">
        <v>918</v>
      </c>
      <c r="G70" s="238" t="s">
        <v>1011</v>
      </c>
      <c r="H70" s="192">
        <v>0</v>
      </c>
      <c r="I70" s="193">
        <v>0</v>
      </c>
      <c r="J70" s="193">
        <v>0</v>
      </c>
      <c r="K70" s="189">
        <v>0</v>
      </c>
      <c r="L70" s="195">
        <f>SUM(H70:K70)</f>
        <v>0</v>
      </c>
      <c r="M70" s="188">
        <v>0</v>
      </c>
      <c r="N70" s="189">
        <v>0</v>
      </c>
      <c r="O70" s="195">
        <f t="shared" si="11"/>
        <v>0</v>
      </c>
      <c r="P70" s="2376"/>
      <c r="Q70" s="2377"/>
    </row>
    <row r="71" spans="1:17" ht="103.5" customHeight="1" x14ac:dyDescent="0.35">
      <c r="A71" s="2386"/>
      <c r="B71" s="138" t="s">
        <v>1009</v>
      </c>
      <c r="C71" s="170" t="s">
        <v>916</v>
      </c>
      <c r="D71" s="140">
        <v>54</v>
      </c>
      <c r="E71" s="240" t="s">
        <v>1012</v>
      </c>
      <c r="F71" s="241" t="s">
        <v>918</v>
      </c>
      <c r="G71" s="242" t="s">
        <v>1011</v>
      </c>
      <c r="H71" s="192">
        <v>0</v>
      </c>
      <c r="I71" s="193">
        <v>0</v>
      </c>
      <c r="J71" s="193">
        <v>0</v>
      </c>
      <c r="K71" s="189">
        <v>0</v>
      </c>
      <c r="L71" s="195">
        <f>SUM(H71:K71)</f>
        <v>0</v>
      </c>
      <c r="M71" s="188">
        <v>0</v>
      </c>
      <c r="N71" s="189">
        <v>0</v>
      </c>
      <c r="O71" s="195">
        <f t="shared" si="11"/>
        <v>0</v>
      </c>
      <c r="P71" s="2331" t="s">
        <v>1013</v>
      </c>
      <c r="Q71" s="2337"/>
    </row>
    <row r="72" spans="1:17" ht="102.65" customHeight="1" x14ac:dyDescent="0.35">
      <c r="A72" s="2386"/>
      <c r="B72" s="138" t="s">
        <v>1014</v>
      </c>
      <c r="C72" s="170" t="s">
        <v>916</v>
      </c>
      <c r="D72" s="140">
        <v>55</v>
      </c>
      <c r="E72" s="243" t="s">
        <v>1015</v>
      </c>
      <c r="F72" s="241" t="s">
        <v>918</v>
      </c>
      <c r="G72" s="242" t="s">
        <v>1016</v>
      </c>
      <c r="H72" s="192">
        <v>0</v>
      </c>
      <c r="I72" s="193">
        <v>0</v>
      </c>
      <c r="J72" s="193">
        <v>0</v>
      </c>
      <c r="K72" s="189">
        <v>0</v>
      </c>
      <c r="L72" s="195">
        <f>SUM(H72:K72)</f>
        <v>0</v>
      </c>
      <c r="M72" s="188">
        <v>0</v>
      </c>
      <c r="N72" s="189">
        <v>0</v>
      </c>
      <c r="O72" s="195">
        <f t="shared" si="11"/>
        <v>0</v>
      </c>
      <c r="P72" s="2331" t="s">
        <v>1013</v>
      </c>
      <c r="Q72" s="2337"/>
    </row>
    <row r="73" spans="1:17" x14ac:dyDescent="0.35">
      <c r="A73" s="2386"/>
      <c r="B73" s="237"/>
      <c r="C73" s="140" t="s">
        <v>916</v>
      </c>
      <c r="D73" s="140">
        <v>56</v>
      </c>
      <c r="E73" s="182" t="s">
        <v>397</v>
      </c>
      <c r="F73" s="182" t="s">
        <v>918</v>
      </c>
      <c r="G73" s="183" t="s">
        <v>396</v>
      </c>
      <c r="H73" s="192">
        <v>0</v>
      </c>
      <c r="I73" s="193">
        <v>0</v>
      </c>
      <c r="J73" s="193">
        <v>0</v>
      </c>
      <c r="K73" s="189">
        <v>0</v>
      </c>
      <c r="L73" s="195">
        <f>SUM(H73:K73)</f>
        <v>0</v>
      </c>
      <c r="M73" s="188">
        <v>0</v>
      </c>
      <c r="N73" s="189">
        <v>0</v>
      </c>
      <c r="O73" s="195">
        <f t="shared" si="11"/>
        <v>0</v>
      </c>
      <c r="P73" s="2407"/>
      <c r="Q73" s="2408"/>
    </row>
    <row r="74" spans="1:17" ht="11.25" customHeight="1" x14ac:dyDescent="0.35">
      <c r="A74" s="2386"/>
      <c r="B74" s="237"/>
      <c r="C74" s="140" t="s">
        <v>916</v>
      </c>
      <c r="D74" s="140">
        <v>57</v>
      </c>
      <c r="E74" s="182" t="s">
        <v>399</v>
      </c>
      <c r="F74" s="182" t="s">
        <v>918</v>
      </c>
      <c r="G74" s="238" t="s">
        <v>398</v>
      </c>
      <c r="H74" s="192">
        <v>0</v>
      </c>
      <c r="I74" s="193">
        <v>0</v>
      </c>
      <c r="J74" s="193">
        <v>0</v>
      </c>
      <c r="K74" s="189">
        <v>0</v>
      </c>
      <c r="L74" s="195">
        <f t="shared" si="10"/>
        <v>0</v>
      </c>
      <c r="M74" s="188">
        <v>0</v>
      </c>
      <c r="N74" s="189">
        <v>0</v>
      </c>
      <c r="O74" s="195">
        <f t="shared" si="11"/>
        <v>0</v>
      </c>
      <c r="P74" s="2376"/>
      <c r="Q74" s="2377"/>
    </row>
    <row r="75" spans="1:17" ht="12.75" customHeight="1" x14ac:dyDescent="0.35">
      <c r="A75" s="2386"/>
      <c r="B75" s="138" t="s">
        <v>1017</v>
      </c>
      <c r="C75" s="140" t="s">
        <v>916</v>
      </c>
      <c r="D75" s="140">
        <v>58</v>
      </c>
      <c r="E75" s="244" t="s">
        <v>1018</v>
      </c>
      <c r="F75" s="182" t="s">
        <v>918</v>
      </c>
      <c r="G75" s="183" t="s">
        <v>1019</v>
      </c>
      <c r="H75" s="192">
        <v>0</v>
      </c>
      <c r="I75" s="193">
        <v>0</v>
      </c>
      <c r="J75" s="193">
        <v>0</v>
      </c>
      <c r="K75" s="189">
        <v>0</v>
      </c>
      <c r="L75" s="195">
        <f t="shared" si="10"/>
        <v>0</v>
      </c>
      <c r="M75" s="188">
        <v>0</v>
      </c>
      <c r="N75" s="189">
        <v>0</v>
      </c>
      <c r="O75" s="195">
        <f t="shared" si="11"/>
        <v>0</v>
      </c>
      <c r="P75" s="2335" t="s">
        <v>1020</v>
      </c>
      <c r="Q75" s="2336"/>
    </row>
    <row r="76" spans="1:17" ht="43.5" customHeight="1" thickBot="1" x14ac:dyDescent="0.4">
      <c r="A76" s="2386"/>
      <c r="B76" s="245"/>
      <c r="C76" s="173" t="s">
        <v>916</v>
      </c>
      <c r="D76" s="173">
        <v>59</v>
      </c>
      <c r="E76" s="152" t="s">
        <v>1021</v>
      </c>
      <c r="F76" s="152"/>
      <c r="G76" s="224"/>
      <c r="H76" s="246">
        <v>0</v>
      </c>
      <c r="I76" s="247">
        <v>0</v>
      </c>
      <c r="J76" s="247">
        <v>0</v>
      </c>
      <c r="K76" s="248">
        <v>0</v>
      </c>
      <c r="L76" s="226">
        <f t="shared" si="10"/>
        <v>0</v>
      </c>
      <c r="M76" s="249"/>
      <c r="N76" s="248">
        <v>0</v>
      </c>
      <c r="O76" s="226">
        <f t="shared" si="11"/>
        <v>0</v>
      </c>
      <c r="P76" s="2411" t="s">
        <v>1022</v>
      </c>
      <c r="Q76" s="2412"/>
    </row>
    <row r="77" spans="1:17" ht="15" thickBot="1" x14ac:dyDescent="0.4">
      <c r="A77" s="2387"/>
      <c r="B77" s="250"/>
      <c r="C77" s="251"/>
      <c r="D77" s="178">
        <v>60</v>
      </c>
      <c r="E77" s="229" t="s">
        <v>1023</v>
      </c>
      <c r="F77" s="229"/>
      <c r="G77" s="163"/>
      <c r="H77" s="231">
        <f>SUM(H57:H76)</f>
        <v>0</v>
      </c>
      <c r="I77" s="232">
        <f>SUM(I57:I76)</f>
        <v>0</v>
      </c>
      <c r="J77" s="232">
        <f>SUM(J57:J76)</f>
        <v>0</v>
      </c>
      <c r="K77" s="233">
        <f>SUM(K57:K76)</f>
        <v>0</v>
      </c>
      <c r="L77" s="234">
        <f t="shared" si="10"/>
        <v>0</v>
      </c>
      <c r="M77" s="235">
        <f>SUM(M57:M76)</f>
        <v>0</v>
      </c>
      <c r="N77" s="233">
        <f>SUM(N57:N76)</f>
        <v>0</v>
      </c>
      <c r="O77" s="234">
        <f t="shared" si="11"/>
        <v>0</v>
      </c>
      <c r="P77" s="2413"/>
      <c r="Q77" s="2414"/>
    </row>
    <row r="78" spans="1:17" ht="12.75" customHeight="1" thickBot="1" x14ac:dyDescent="0.4">
      <c r="A78" s="1639"/>
      <c r="B78" s="1625"/>
      <c r="C78" s="1625"/>
      <c r="D78" s="1625"/>
      <c r="E78" s="1640"/>
      <c r="F78" s="1640"/>
      <c r="G78" s="1640"/>
      <c r="H78" s="2393"/>
      <c r="I78" s="2394"/>
      <c r="J78" s="2394"/>
      <c r="K78" s="2394"/>
      <c r="L78" s="2394"/>
      <c r="M78" s="2394"/>
      <c r="N78" s="2394"/>
      <c r="O78" s="2394"/>
      <c r="P78" s="2395"/>
      <c r="Q78" s="2396"/>
    </row>
    <row r="79" spans="1:17" ht="36" customHeight="1" thickBot="1" x14ac:dyDescent="0.4">
      <c r="A79" s="2397" t="s">
        <v>1024</v>
      </c>
      <c r="B79" s="1720" t="s">
        <v>1025</v>
      </c>
      <c r="C79" s="2400"/>
      <c r="D79" s="2401"/>
      <c r="E79" s="1721" t="s">
        <v>1026</v>
      </c>
      <c r="F79" s="2402"/>
      <c r="G79" s="2403"/>
      <c r="H79" s="2403"/>
      <c r="I79" s="2403"/>
      <c r="J79" s="2403"/>
      <c r="K79" s="2403"/>
      <c r="L79" s="2403"/>
      <c r="M79" s="2403"/>
      <c r="N79" s="2403"/>
      <c r="O79" s="2404"/>
      <c r="P79" s="2405" t="s">
        <v>1027</v>
      </c>
      <c r="Q79" s="2406"/>
    </row>
    <row r="80" spans="1:17" x14ac:dyDescent="0.35">
      <c r="A80" s="2398"/>
      <c r="B80" s="252" t="s">
        <v>1028</v>
      </c>
      <c r="C80" s="120" t="s">
        <v>916</v>
      </c>
      <c r="D80" s="120">
        <v>61</v>
      </c>
      <c r="E80" s="253" t="s">
        <v>1029</v>
      </c>
      <c r="F80" s="254" t="s">
        <v>918</v>
      </c>
      <c r="G80" s="255" t="s">
        <v>1030</v>
      </c>
      <c r="H80" s="184">
        <v>0</v>
      </c>
      <c r="I80" s="185">
        <v>0</v>
      </c>
      <c r="J80" s="185">
        <v>0</v>
      </c>
      <c r="K80" s="213">
        <v>0</v>
      </c>
      <c r="L80" s="187">
        <f t="shared" ref="L80:L85" si="12">SUM(H80:K80)</f>
        <v>0</v>
      </c>
      <c r="M80" s="214">
        <v>0</v>
      </c>
      <c r="N80" s="213">
        <v>0</v>
      </c>
      <c r="O80" s="187">
        <f t="shared" ref="O80:O86" si="13">SUM(L80:N80)</f>
        <v>0</v>
      </c>
      <c r="P80" s="2415" t="s">
        <v>1031</v>
      </c>
      <c r="Q80" s="2416"/>
    </row>
    <row r="81" spans="1:17" x14ac:dyDescent="0.35">
      <c r="A81" s="2398"/>
      <c r="B81" s="138" t="s">
        <v>1032</v>
      </c>
      <c r="C81" s="140" t="s">
        <v>916</v>
      </c>
      <c r="D81" s="140">
        <v>62</v>
      </c>
      <c r="E81" s="196" t="s">
        <v>1033</v>
      </c>
      <c r="F81" s="182" t="s">
        <v>918</v>
      </c>
      <c r="G81" s="183" t="s">
        <v>1030</v>
      </c>
      <c r="H81" s="192">
        <v>0</v>
      </c>
      <c r="I81" s="193">
        <v>0</v>
      </c>
      <c r="J81" s="193">
        <v>0</v>
      </c>
      <c r="K81" s="189">
        <v>0</v>
      </c>
      <c r="L81" s="195">
        <f t="shared" si="12"/>
        <v>0</v>
      </c>
      <c r="M81" s="188">
        <v>0</v>
      </c>
      <c r="N81" s="189">
        <v>0</v>
      </c>
      <c r="O81" s="195">
        <f t="shared" si="13"/>
        <v>0</v>
      </c>
      <c r="P81" s="2417"/>
      <c r="Q81" s="2418"/>
    </row>
    <row r="82" spans="1:17" ht="12.75" customHeight="1" x14ac:dyDescent="0.35">
      <c r="A82" s="2398"/>
      <c r="B82" s="138" t="s">
        <v>1034</v>
      </c>
      <c r="C82" s="140" t="s">
        <v>916</v>
      </c>
      <c r="D82" s="140">
        <v>63</v>
      </c>
      <c r="E82" s="196" t="s">
        <v>1035</v>
      </c>
      <c r="F82" s="182" t="s">
        <v>918</v>
      </c>
      <c r="G82" s="183" t="s">
        <v>1030</v>
      </c>
      <c r="H82" s="192">
        <v>0</v>
      </c>
      <c r="I82" s="193">
        <v>0</v>
      </c>
      <c r="J82" s="193">
        <v>0</v>
      </c>
      <c r="K82" s="189">
        <v>0</v>
      </c>
      <c r="L82" s="195">
        <f t="shared" si="12"/>
        <v>0</v>
      </c>
      <c r="M82" s="188">
        <v>0</v>
      </c>
      <c r="N82" s="189">
        <v>0</v>
      </c>
      <c r="O82" s="195">
        <f t="shared" si="13"/>
        <v>0</v>
      </c>
      <c r="P82" s="2417"/>
      <c r="Q82" s="2418"/>
    </row>
    <row r="83" spans="1:17" ht="20.25" customHeight="1" x14ac:dyDescent="0.35">
      <c r="A83" s="2398"/>
      <c r="B83" s="138" t="s">
        <v>1036</v>
      </c>
      <c r="C83" s="140" t="s">
        <v>916</v>
      </c>
      <c r="D83" s="140">
        <v>64</v>
      </c>
      <c r="E83" s="196" t="s">
        <v>1037</v>
      </c>
      <c r="F83" s="182" t="s">
        <v>918</v>
      </c>
      <c r="G83" s="183" t="s">
        <v>1030</v>
      </c>
      <c r="H83" s="192">
        <v>0</v>
      </c>
      <c r="I83" s="193">
        <v>0</v>
      </c>
      <c r="J83" s="193">
        <v>0</v>
      </c>
      <c r="K83" s="189">
        <v>0</v>
      </c>
      <c r="L83" s="195">
        <f t="shared" si="12"/>
        <v>0</v>
      </c>
      <c r="M83" s="188">
        <v>0</v>
      </c>
      <c r="N83" s="189">
        <v>0</v>
      </c>
      <c r="O83" s="195">
        <f t="shared" si="13"/>
        <v>0</v>
      </c>
      <c r="P83" s="2417"/>
      <c r="Q83" s="2418"/>
    </row>
    <row r="84" spans="1:17" ht="29" x14ac:dyDescent="0.35">
      <c r="A84" s="2398"/>
      <c r="B84" s="138" t="s">
        <v>1038</v>
      </c>
      <c r="C84" s="140" t="s">
        <v>916</v>
      </c>
      <c r="D84" s="140">
        <v>65</v>
      </c>
      <c r="E84" s="197" t="s">
        <v>1039</v>
      </c>
      <c r="F84" s="182" t="s">
        <v>918</v>
      </c>
      <c r="G84" s="183" t="s">
        <v>1030</v>
      </c>
      <c r="H84" s="192">
        <v>0</v>
      </c>
      <c r="I84" s="193">
        <v>0</v>
      </c>
      <c r="J84" s="193">
        <v>0</v>
      </c>
      <c r="K84" s="189">
        <v>0</v>
      </c>
      <c r="L84" s="195">
        <f t="shared" si="12"/>
        <v>0</v>
      </c>
      <c r="M84" s="188">
        <v>0</v>
      </c>
      <c r="N84" s="189">
        <v>0</v>
      </c>
      <c r="O84" s="195">
        <f t="shared" si="13"/>
        <v>0</v>
      </c>
      <c r="P84" s="2417"/>
      <c r="Q84" s="2418"/>
    </row>
    <row r="85" spans="1:17" ht="29.5" thickBot="1" x14ac:dyDescent="0.4">
      <c r="A85" s="2398"/>
      <c r="B85" s="256" t="s">
        <v>1040</v>
      </c>
      <c r="C85" s="202" t="s">
        <v>916</v>
      </c>
      <c r="D85" s="202">
        <v>66</v>
      </c>
      <c r="E85" s="257" t="s">
        <v>1041</v>
      </c>
      <c r="F85" s="204" t="s">
        <v>918</v>
      </c>
      <c r="G85" s="258" t="s">
        <v>1030</v>
      </c>
      <c r="H85" s="206">
        <v>0</v>
      </c>
      <c r="I85" s="207">
        <v>0</v>
      </c>
      <c r="J85" s="207">
        <v>0</v>
      </c>
      <c r="K85" s="211">
        <v>0</v>
      </c>
      <c r="L85" s="209">
        <f t="shared" si="12"/>
        <v>0</v>
      </c>
      <c r="M85" s="249">
        <v>0</v>
      </c>
      <c r="N85" s="248">
        <v>0</v>
      </c>
      <c r="O85" s="209">
        <f t="shared" si="13"/>
        <v>0</v>
      </c>
      <c r="P85" s="2419"/>
      <c r="Q85" s="2420"/>
    </row>
    <row r="86" spans="1:17" ht="15" thickBot="1" x14ac:dyDescent="0.4">
      <c r="A86" s="2399"/>
      <c r="B86" s="259"/>
      <c r="C86" s="260"/>
      <c r="D86" s="261">
        <v>67</v>
      </c>
      <c r="E86" s="262" t="s">
        <v>1042</v>
      </c>
      <c r="F86" s="262"/>
      <c r="G86" s="263"/>
      <c r="H86" s="264">
        <f>SUM(H80:H85)</f>
        <v>0</v>
      </c>
      <c r="I86" s="265">
        <f>SUM(I80:I85)</f>
        <v>0</v>
      </c>
      <c r="J86" s="265">
        <f>SUM(J80:J85)</f>
        <v>0</v>
      </c>
      <c r="K86" s="266">
        <f>SUM(K80:K85)</f>
        <v>0</v>
      </c>
      <c r="L86" s="267">
        <f>SUM(H86:K86)</f>
        <v>0</v>
      </c>
      <c r="M86" s="268">
        <f>SUM(M80:M85)</f>
        <v>0</v>
      </c>
      <c r="N86" s="266">
        <f>SUM(N80:N85)</f>
        <v>0</v>
      </c>
      <c r="O86" s="267">
        <f t="shared" si="13"/>
        <v>0</v>
      </c>
      <c r="P86" s="2409"/>
      <c r="Q86" s="2410"/>
    </row>
    <row r="87" spans="1:17" ht="12.75" customHeight="1" thickBot="1" x14ac:dyDescent="0.4">
      <c r="A87" s="1639"/>
      <c r="B87" s="1625"/>
      <c r="C87" s="1625"/>
      <c r="D87" s="1625"/>
      <c r="E87" s="1640"/>
      <c r="F87" s="1640"/>
      <c r="G87" s="1640"/>
      <c r="H87" s="1641"/>
      <c r="I87" s="1641"/>
      <c r="J87" s="1641"/>
      <c r="K87" s="1641"/>
      <c r="L87" s="1641"/>
      <c r="M87" s="1641"/>
      <c r="N87" s="1641"/>
      <c r="O87" s="1641"/>
      <c r="P87" s="2421"/>
      <c r="Q87" s="2422"/>
    </row>
    <row r="88" spans="1:17" ht="68.150000000000006" customHeight="1" thickBot="1" x14ac:dyDescent="0.4">
      <c r="A88" s="1759" t="s">
        <v>1043</v>
      </c>
      <c r="B88" s="269" t="s">
        <v>1044</v>
      </c>
      <c r="C88" s="270" t="s">
        <v>916</v>
      </c>
      <c r="D88" s="270">
        <v>68</v>
      </c>
      <c r="E88" s="271" t="s">
        <v>1045</v>
      </c>
      <c r="F88" s="272" t="s">
        <v>918</v>
      </c>
      <c r="G88" s="273" t="s">
        <v>394</v>
      </c>
      <c r="H88" s="274">
        <v>0</v>
      </c>
      <c r="I88" s="275">
        <v>0</v>
      </c>
      <c r="J88" s="275">
        <v>0</v>
      </c>
      <c r="K88" s="276">
        <v>0</v>
      </c>
      <c r="L88" s="277">
        <f>SUM(H88:K88)</f>
        <v>0</v>
      </c>
      <c r="M88" s="274">
        <v>0</v>
      </c>
      <c r="N88" s="276">
        <v>0</v>
      </c>
      <c r="O88" s="278">
        <f>SUM(L88:N88)</f>
        <v>0</v>
      </c>
      <c r="P88" s="2423" t="s">
        <v>1046</v>
      </c>
      <c r="Q88" s="2424"/>
    </row>
    <row r="89" spans="1:17" ht="12.75" customHeight="1" thickBot="1" x14ac:dyDescent="0.4">
      <c r="A89" s="1639"/>
      <c r="B89" s="1625"/>
      <c r="C89" s="1625"/>
      <c r="D89" s="1625"/>
      <c r="E89" s="1640"/>
      <c r="F89" s="1640"/>
      <c r="G89" s="1640"/>
      <c r="H89" s="1641"/>
      <c r="I89" s="1641"/>
      <c r="J89" s="1641"/>
      <c r="K89" s="1641"/>
      <c r="L89" s="1641"/>
      <c r="M89" s="1641"/>
      <c r="N89" s="1641"/>
      <c r="O89" s="2393"/>
      <c r="P89" s="2394"/>
      <c r="Q89" s="2425"/>
    </row>
    <row r="90" spans="1:17" s="181" customFormat="1" ht="48.75" customHeight="1" thickBot="1" x14ac:dyDescent="0.4">
      <c r="A90" s="1722" t="s">
        <v>1047</v>
      </c>
      <c r="B90" s="279" t="s">
        <v>1048</v>
      </c>
      <c r="C90" s="280" t="s">
        <v>916</v>
      </c>
      <c r="D90" s="280">
        <v>69</v>
      </c>
      <c r="E90" s="281" t="s">
        <v>1049</v>
      </c>
      <c r="F90" s="282" t="s">
        <v>1050</v>
      </c>
      <c r="G90" s="283"/>
      <c r="H90" s="284">
        <v>0</v>
      </c>
      <c r="I90" s="285">
        <v>0</v>
      </c>
      <c r="J90" s="285">
        <v>0</v>
      </c>
      <c r="K90" s="286">
        <v>0</v>
      </c>
      <c r="L90" s="287">
        <v>0</v>
      </c>
      <c r="M90" s="288"/>
      <c r="N90" s="289"/>
      <c r="O90" s="290">
        <v>0</v>
      </c>
      <c r="P90" s="2426" t="s">
        <v>1051</v>
      </c>
      <c r="Q90" s="2427"/>
    </row>
    <row r="91" spans="1:17" ht="12.75" customHeight="1" thickBot="1" x14ac:dyDescent="0.4">
      <c r="A91" s="1642"/>
      <c r="B91" s="1643"/>
      <c r="C91" s="1643"/>
      <c r="D91" s="1643"/>
      <c r="E91" s="1644"/>
      <c r="F91" s="1644"/>
      <c r="G91" s="1644"/>
      <c r="H91" s="1645"/>
      <c r="I91" s="1645"/>
      <c r="J91" s="1645"/>
      <c r="K91" s="1645"/>
      <c r="L91" s="1645"/>
      <c r="M91" s="1645"/>
      <c r="N91" s="1645"/>
      <c r="O91" s="1645"/>
      <c r="P91" s="1646"/>
      <c r="Q91" s="1647"/>
    </row>
    <row r="92" spans="1:17" s="181" customFormat="1" ht="12.75" customHeight="1" thickBot="1" x14ac:dyDescent="0.4">
      <c r="A92" s="2463" t="s">
        <v>1052</v>
      </c>
      <c r="B92" s="2428"/>
      <c r="C92" s="2429"/>
      <c r="D92" s="2430"/>
      <c r="E92" s="1723" t="s">
        <v>1053</v>
      </c>
      <c r="F92" s="2431"/>
      <c r="G92" s="2432"/>
      <c r="H92" s="2432"/>
      <c r="I92" s="2432"/>
      <c r="J92" s="2432"/>
      <c r="K92" s="2432"/>
      <c r="L92" s="2432"/>
      <c r="M92" s="2433"/>
      <c r="N92" s="2433"/>
      <c r="O92" s="2432"/>
      <c r="P92" s="2432"/>
      <c r="Q92" s="2434"/>
    </row>
    <row r="93" spans="1:17" s="181" customFormat="1" x14ac:dyDescent="0.35">
      <c r="A93" s="2464"/>
      <c r="B93" s="291"/>
      <c r="C93" s="292"/>
      <c r="D93" s="120">
        <v>70</v>
      </c>
      <c r="E93" s="253" t="s">
        <v>965</v>
      </c>
      <c r="F93" s="254"/>
      <c r="G93" s="255"/>
      <c r="H93" s="293">
        <f>+H54</f>
        <v>0</v>
      </c>
      <c r="I93" s="294">
        <f>+I54</f>
        <v>0</v>
      </c>
      <c r="J93" s="294">
        <f>+J54</f>
        <v>0</v>
      </c>
      <c r="K93" s="295">
        <f>+K54</f>
        <v>0</v>
      </c>
      <c r="L93" s="296">
        <f>SUM(H93:K93)</f>
        <v>0</v>
      </c>
      <c r="M93" s="297">
        <f>+M54</f>
        <v>0</v>
      </c>
      <c r="N93" s="298">
        <f>+N54</f>
        <v>0</v>
      </c>
      <c r="O93" s="296">
        <f>SUM(L93:N93)</f>
        <v>0</v>
      </c>
      <c r="P93" s="2435"/>
      <c r="Q93" s="2436"/>
    </row>
    <row r="94" spans="1:17" s="181" customFormat="1" x14ac:dyDescent="0.35">
      <c r="A94" s="2464"/>
      <c r="B94" s="299"/>
      <c r="C94" s="300"/>
      <c r="D94" s="140">
        <v>71</v>
      </c>
      <c r="E94" s="196" t="s">
        <v>1024</v>
      </c>
      <c r="F94" s="182"/>
      <c r="G94" s="183"/>
      <c r="H94" s="301">
        <f>+H86</f>
        <v>0</v>
      </c>
      <c r="I94" s="302">
        <f>+I86</f>
        <v>0</v>
      </c>
      <c r="J94" s="302">
        <f>+J86</f>
        <v>0</v>
      </c>
      <c r="K94" s="303">
        <f>+K86</f>
        <v>0</v>
      </c>
      <c r="L94" s="218">
        <f t="shared" ref="L94:L99" si="14">SUM(H94:K94)</f>
        <v>0</v>
      </c>
      <c r="M94" s="297">
        <f t="shared" ref="M94:N94" si="15">+M86</f>
        <v>0</v>
      </c>
      <c r="N94" s="298">
        <f t="shared" si="15"/>
        <v>0</v>
      </c>
      <c r="O94" s="218">
        <f t="shared" ref="O94:O95" si="16">SUM(L94:N94)</f>
        <v>0</v>
      </c>
      <c r="P94" s="2437"/>
      <c r="Q94" s="2438"/>
    </row>
    <row r="95" spans="1:17" s="181" customFormat="1" ht="15" thickBot="1" x14ac:dyDescent="0.4">
      <c r="A95" s="2464"/>
      <c r="B95" s="304"/>
      <c r="C95" s="305"/>
      <c r="D95" s="202">
        <v>72</v>
      </c>
      <c r="E95" s="257" t="s">
        <v>470</v>
      </c>
      <c r="F95" s="204"/>
      <c r="G95" s="258"/>
      <c r="H95" s="306">
        <f>SUM(H93:H94)</f>
        <v>0</v>
      </c>
      <c r="I95" s="307">
        <f>SUM(I93:I94)</f>
        <v>0</v>
      </c>
      <c r="J95" s="307">
        <f>SUM(J93:J94)</f>
        <v>0</v>
      </c>
      <c r="K95" s="308">
        <f>SUM(K93:K94)</f>
        <v>0</v>
      </c>
      <c r="L95" s="225">
        <f t="shared" si="14"/>
        <v>0</v>
      </c>
      <c r="M95" s="297">
        <f t="shared" ref="M95:N95" si="17">SUM(M93:M94)</f>
        <v>0</v>
      </c>
      <c r="N95" s="298">
        <f t="shared" si="17"/>
        <v>0</v>
      </c>
      <c r="O95" s="225">
        <f t="shared" si="16"/>
        <v>0</v>
      </c>
      <c r="P95" s="2439"/>
      <c r="Q95" s="2440"/>
    </row>
    <row r="96" spans="1:17" s="181" customFormat="1" ht="15" thickBot="1" x14ac:dyDescent="0.4">
      <c r="A96" s="2465"/>
      <c r="B96" s="2466"/>
      <c r="C96" s="2467"/>
      <c r="D96" s="2468"/>
      <c r="E96" s="1724" t="s">
        <v>1054</v>
      </c>
      <c r="F96" s="2469"/>
      <c r="G96" s="2470"/>
      <c r="H96" s="2470"/>
      <c r="I96" s="2470"/>
      <c r="J96" s="2470"/>
      <c r="K96" s="2470"/>
      <c r="L96" s="2470"/>
      <c r="M96" s="2471"/>
      <c r="N96" s="2471"/>
      <c r="O96" s="2470"/>
      <c r="P96" s="2470"/>
      <c r="Q96" s="2472"/>
    </row>
    <row r="97" spans="1:17" s="181" customFormat="1" x14ac:dyDescent="0.35">
      <c r="A97" s="2464"/>
      <c r="B97" s="291"/>
      <c r="C97" s="292"/>
      <c r="D97" s="120">
        <v>73</v>
      </c>
      <c r="E97" s="253" t="s">
        <v>912</v>
      </c>
      <c r="F97" s="254"/>
      <c r="G97" s="255"/>
      <c r="H97" s="293">
        <f>+H27</f>
        <v>0</v>
      </c>
      <c r="I97" s="294">
        <f>+I27</f>
        <v>0</v>
      </c>
      <c r="J97" s="294">
        <f>+J27</f>
        <v>0</v>
      </c>
      <c r="K97" s="295">
        <f>+K27</f>
        <v>0</v>
      </c>
      <c r="L97" s="296">
        <f t="shared" si="14"/>
        <v>0</v>
      </c>
      <c r="M97" s="297">
        <f>M27</f>
        <v>0</v>
      </c>
      <c r="N97" s="298">
        <f>N27</f>
        <v>0</v>
      </c>
      <c r="O97" s="296">
        <f>+O27</f>
        <v>0</v>
      </c>
      <c r="P97" s="2435"/>
      <c r="Q97" s="2436"/>
    </row>
    <row r="98" spans="1:17" s="181" customFormat="1" x14ac:dyDescent="0.35">
      <c r="A98" s="2464"/>
      <c r="B98" s="299"/>
      <c r="C98" s="300"/>
      <c r="D98" s="140">
        <v>74</v>
      </c>
      <c r="E98" s="196" t="s">
        <v>1055</v>
      </c>
      <c r="F98" s="182"/>
      <c r="G98" s="183"/>
      <c r="H98" s="301">
        <f>+H35</f>
        <v>0</v>
      </c>
      <c r="I98" s="302">
        <f>+I35</f>
        <v>0</v>
      </c>
      <c r="J98" s="302">
        <f>+J35</f>
        <v>0</v>
      </c>
      <c r="K98" s="303">
        <f>+K35</f>
        <v>0</v>
      </c>
      <c r="L98" s="218">
        <f t="shared" si="14"/>
        <v>0</v>
      </c>
      <c r="M98" s="297">
        <f>M35</f>
        <v>0</v>
      </c>
      <c r="N98" s="298">
        <f>N35</f>
        <v>0</v>
      </c>
      <c r="O98" s="218">
        <f>+O35</f>
        <v>0</v>
      </c>
      <c r="P98" s="2437"/>
      <c r="Q98" s="2438"/>
    </row>
    <row r="99" spans="1:17" s="181" customFormat="1" ht="15" thickBot="1" x14ac:dyDescent="0.4">
      <c r="A99" s="2464"/>
      <c r="B99" s="309"/>
      <c r="C99" s="310"/>
      <c r="D99" s="173">
        <v>75</v>
      </c>
      <c r="E99" s="222" t="s">
        <v>470</v>
      </c>
      <c r="F99" s="223"/>
      <c r="G99" s="224"/>
      <c r="H99" s="311">
        <f>+H97-H98</f>
        <v>0</v>
      </c>
      <c r="I99" s="312">
        <f>+I97-I98</f>
        <v>0</v>
      </c>
      <c r="J99" s="312">
        <f>+J97-J98</f>
        <v>0</v>
      </c>
      <c r="K99" s="313">
        <f>+K97-K98</f>
        <v>0</v>
      </c>
      <c r="L99" s="314">
        <f t="shared" si="14"/>
        <v>0</v>
      </c>
      <c r="M99" s="315">
        <f>+M97-M98</f>
        <v>0</v>
      </c>
      <c r="N99" s="316">
        <f>+N97-N98</f>
        <v>0</v>
      </c>
      <c r="O99" s="314">
        <f>+O97-O98</f>
        <v>0</v>
      </c>
      <c r="P99" s="2437"/>
      <c r="Q99" s="2438"/>
    </row>
    <row r="100" spans="1:17" s="181" customFormat="1" x14ac:dyDescent="0.35">
      <c r="A100" s="2464"/>
      <c r="B100" s="291"/>
      <c r="C100" s="292"/>
      <c r="D100" s="120">
        <v>76</v>
      </c>
      <c r="E100" s="317" t="s">
        <v>1056</v>
      </c>
      <c r="F100" s="254"/>
      <c r="G100" s="255"/>
      <c r="H100" s="318">
        <f>IFERROR(+H95/H99,0)</f>
        <v>0</v>
      </c>
      <c r="I100" s="319">
        <f>IFERROR(+I95/I99,0)</f>
        <v>0</v>
      </c>
      <c r="J100" s="319">
        <f>IFERROR(+J95/J99,0)</f>
        <v>0</v>
      </c>
      <c r="K100" s="320">
        <f>IFERROR(+K95/K99,0)</f>
        <v>0</v>
      </c>
      <c r="L100" s="321">
        <f>IFERROR(+L95/L99,0)</f>
        <v>0</v>
      </c>
      <c r="M100" s="322"/>
      <c r="N100" s="323"/>
      <c r="O100" s="321">
        <f>IFERROR(+O95/O99,0)</f>
        <v>0</v>
      </c>
      <c r="P100" s="2437"/>
      <c r="Q100" s="2438"/>
    </row>
    <row r="101" spans="1:17" s="181" customFormat="1" ht="15" thickBot="1" x14ac:dyDescent="0.4">
      <c r="A101" s="2464"/>
      <c r="B101" s="309"/>
      <c r="C101" s="310"/>
      <c r="D101" s="173">
        <v>77</v>
      </c>
      <c r="E101" s="324" t="s">
        <v>1057</v>
      </c>
      <c r="F101" s="223"/>
      <c r="G101" s="224"/>
      <c r="H101" s="325">
        <f>+H100+H90</f>
        <v>0</v>
      </c>
      <c r="I101" s="326">
        <f>+I100+I90</f>
        <v>0</v>
      </c>
      <c r="J101" s="326">
        <f>+J100+J90</f>
        <v>0</v>
      </c>
      <c r="K101" s="327">
        <f>+K100+K90</f>
        <v>0</v>
      </c>
      <c r="L101" s="328">
        <f>+L100+L90</f>
        <v>0</v>
      </c>
      <c r="M101" s="329"/>
      <c r="N101" s="330"/>
      <c r="O101" s="328">
        <f>+O100+O90</f>
        <v>0</v>
      </c>
      <c r="P101" s="2439"/>
      <c r="Q101" s="2440"/>
    </row>
    <row r="102" spans="1:17" ht="12.75" customHeight="1" thickBot="1" x14ac:dyDescent="0.4">
      <c r="A102" s="1639"/>
      <c r="B102" s="1625"/>
      <c r="C102" s="1625"/>
      <c r="D102" s="1625"/>
      <c r="E102" s="1640"/>
      <c r="F102" s="1640"/>
      <c r="G102" s="1640"/>
      <c r="H102" s="1641"/>
      <c r="I102" s="1641"/>
      <c r="J102" s="1641"/>
      <c r="K102" s="1641"/>
      <c r="L102" s="2448"/>
      <c r="M102" s="2449"/>
      <c r="N102" s="2449"/>
      <c r="O102" s="2449"/>
      <c r="P102" s="2421"/>
      <c r="Q102" s="2422"/>
    </row>
    <row r="103" spans="1:17" ht="12.75" customHeight="1" x14ac:dyDescent="0.35">
      <c r="A103" s="2450" t="s">
        <v>1058</v>
      </c>
      <c r="B103" s="2451" t="s">
        <v>1059</v>
      </c>
      <c r="C103" s="2452"/>
      <c r="D103" s="2454">
        <v>78</v>
      </c>
      <c r="E103" s="2456" t="s">
        <v>1060</v>
      </c>
      <c r="F103" s="2457"/>
      <c r="G103" s="2457"/>
      <c r="H103" s="2457"/>
      <c r="I103" s="2457"/>
      <c r="J103" s="2457"/>
      <c r="K103" s="2457"/>
      <c r="L103" s="2457"/>
      <c r="M103" s="2457"/>
      <c r="N103" s="2457"/>
      <c r="O103" s="2458"/>
      <c r="P103" s="2459" t="s">
        <v>1061</v>
      </c>
      <c r="Q103" s="2424"/>
    </row>
    <row r="104" spans="1:17" ht="246.75" customHeight="1" x14ac:dyDescent="0.35">
      <c r="A104" s="2386"/>
      <c r="B104" s="2451"/>
      <c r="C104" s="2453"/>
      <c r="D104" s="2455"/>
      <c r="E104" s="2460"/>
      <c r="F104" s="2461"/>
      <c r="G104" s="2461"/>
      <c r="H104" s="2461"/>
      <c r="I104" s="2461"/>
      <c r="J104" s="2461"/>
      <c r="K104" s="2461"/>
      <c r="L104" s="2461"/>
      <c r="M104" s="2461"/>
      <c r="N104" s="2461"/>
      <c r="O104" s="2462"/>
      <c r="P104" s="2459"/>
      <c r="Q104" s="2424"/>
    </row>
    <row r="105" spans="1:17" ht="12.75" customHeight="1" thickBot="1" x14ac:dyDescent="0.4">
      <c r="A105" s="1639"/>
      <c r="B105" s="1625"/>
      <c r="C105" s="1625"/>
      <c r="D105" s="1625"/>
      <c r="E105" s="1640"/>
      <c r="F105" s="1640"/>
      <c r="G105" s="1648"/>
      <c r="H105" s="1641"/>
      <c r="I105" s="1641"/>
      <c r="J105" s="1641"/>
      <c r="K105" s="1641"/>
      <c r="L105" s="2448"/>
      <c r="M105" s="2449"/>
      <c r="N105" s="2449"/>
      <c r="O105" s="2449"/>
      <c r="P105" s="2421"/>
      <c r="Q105" s="2422"/>
    </row>
    <row r="106" spans="1:17" ht="15" customHeight="1" x14ac:dyDescent="0.35">
      <c r="A106" s="2450" t="s">
        <v>1062</v>
      </c>
      <c r="B106" s="331"/>
      <c r="C106" s="332"/>
      <c r="D106" s="333">
        <v>79</v>
      </c>
      <c r="E106" s="2473"/>
      <c r="F106" s="2474"/>
      <c r="G106" s="2474"/>
      <c r="H106" s="2474"/>
      <c r="I106" s="2474"/>
      <c r="J106" s="2474"/>
      <c r="K106" s="2474"/>
      <c r="L106" s="2474"/>
      <c r="M106" s="2474"/>
      <c r="N106" s="2474"/>
      <c r="O106" s="2475"/>
      <c r="P106" s="2476"/>
      <c r="Q106" s="2477"/>
    </row>
    <row r="107" spans="1:17" x14ac:dyDescent="0.35">
      <c r="A107" s="2386"/>
      <c r="B107" s="334"/>
      <c r="C107" s="141"/>
      <c r="D107" s="335">
        <v>80</v>
      </c>
      <c r="E107" s="2478"/>
      <c r="F107" s="2479"/>
      <c r="G107" s="2479"/>
      <c r="H107" s="2479"/>
      <c r="I107" s="2479"/>
      <c r="J107" s="2479"/>
      <c r="K107" s="2479"/>
      <c r="L107" s="2479"/>
      <c r="M107" s="2479"/>
      <c r="N107" s="2479"/>
      <c r="O107" s="2480"/>
      <c r="P107" s="2481"/>
      <c r="Q107" s="2438"/>
    </row>
    <row r="108" spans="1:17" x14ac:dyDescent="0.35">
      <c r="A108" s="2386"/>
      <c r="B108" s="334"/>
      <c r="C108" s="141"/>
      <c r="D108" s="335">
        <v>81</v>
      </c>
      <c r="E108" s="2478"/>
      <c r="F108" s="2479"/>
      <c r="G108" s="2479"/>
      <c r="H108" s="2479"/>
      <c r="I108" s="2479"/>
      <c r="J108" s="2479"/>
      <c r="K108" s="2479"/>
      <c r="L108" s="2479"/>
      <c r="M108" s="2479"/>
      <c r="N108" s="2479"/>
      <c r="O108" s="2480"/>
      <c r="P108" s="2481"/>
      <c r="Q108" s="2438"/>
    </row>
    <row r="109" spans="1:17" x14ac:dyDescent="0.35">
      <c r="A109" s="2386"/>
      <c r="B109" s="334"/>
      <c r="C109" s="141"/>
      <c r="D109" s="335">
        <v>82</v>
      </c>
      <c r="E109" s="2478"/>
      <c r="F109" s="2479"/>
      <c r="G109" s="2479"/>
      <c r="H109" s="2479"/>
      <c r="I109" s="2479"/>
      <c r="J109" s="2479"/>
      <c r="K109" s="2479"/>
      <c r="L109" s="2479"/>
      <c r="M109" s="2479"/>
      <c r="N109" s="2479"/>
      <c r="O109" s="2480"/>
      <c r="P109" s="2481"/>
      <c r="Q109" s="2438"/>
    </row>
    <row r="110" spans="1:17" x14ac:dyDescent="0.35">
      <c r="A110" s="2386"/>
      <c r="B110" s="334"/>
      <c r="C110" s="141"/>
      <c r="D110" s="335">
        <v>83</v>
      </c>
      <c r="E110" s="2478"/>
      <c r="F110" s="2479"/>
      <c r="G110" s="2479"/>
      <c r="H110" s="2479"/>
      <c r="I110" s="2479"/>
      <c r="J110" s="2479"/>
      <c r="K110" s="2479"/>
      <c r="L110" s="2479"/>
      <c r="M110" s="2479"/>
      <c r="N110" s="2479"/>
      <c r="O110" s="2480"/>
      <c r="P110" s="2481"/>
      <c r="Q110" s="2438"/>
    </row>
    <row r="111" spans="1:17" x14ac:dyDescent="0.35">
      <c r="A111" s="2386"/>
      <c r="B111" s="334"/>
      <c r="C111" s="141"/>
      <c r="D111" s="335">
        <v>84</v>
      </c>
      <c r="E111" s="2478"/>
      <c r="F111" s="2479"/>
      <c r="G111" s="2479"/>
      <c r="H111" s="2479"/>
      <c r="I111" s="2479"/>
      <c r="J111" s="2479"/>
      <c r="K111" s="2479"/>
      <c r="L111" s="2479"/>
      <c r="M111" s="2479"/>
      <c r="N111" s="2479"/>
      <c r="O111" s="2480"/>
      <c r="P111" s="2481"/>
      <c r="Q111" s="2438"/>
    </row>
    <row r="112" spans="1:17" ht="15" thickBot="1" x14ac:dyDescent="0.4">
      <c r="A112" s="2387"/>
      <c r="B112" s="336"/>
      <c r="C112" s="337"/>
      <c r="D112" s="338">
        <v>85</v>
      </c>
      <c r="E112" s="2491"/>
      <c r="F112" s="2492"/>
      <c r="G112" s="2492"/>
      <c r="H112" s="2492"/>
      <c r="I112" s="2492"/>
      <c r="J112" s="2492"/>
      <c r="K112" s="2492"/>
      <c r="L112" s="2492"/>
      <c r="M112" s="2492"/>
      <c r="N112" s="2492"/>
      <c r="O112" s="2493"/>
      <c r="P112" s="2494"/>
      <c r="Q112" s="2495"/>
    </row>
    <row r="113" spans="1:17" ht="12.75" customHeight="1" thickBot="1" x14ac:dyDescent="0.4">
      <c r="A113" s="1639"/>
      <c r="B113" s="1625"/>
      <c r="C113" s="1625"/>
      <c r="D113" s="1625"/>
      <c r="E113" s="1640"/>
      <c r="F113" s="1640"/>
      <c r="G113" s="1648"/>
      <c r="H113" s="1641"/>
      <c r="I113" s="1641"/>
      <c r="J113" s="1641"/>
      <c r="K113" s="1641"/>
      <c r="L113" s="2448"/>
      <c r="M113" s="2449"/>
      <c r="N113" s="2449"/>
      <c r="O113" s="2449"/>
      <c r="P113" s="2395"/>
      <c r="Q113" s="2396"/>
    </row>
    <row r="114" spans="1:17" ht="12.75" customHeight="1" thickBot="1" x14ac:dyDescent="0.4">
      <c r="A114" s="2441" t="s">
        <v>1063</v>
      </c>
      <c r="B114" s="2443" t="s">
        <v>1064</v>
      </c>
      <c r="C114" s="2444"/>
      <c r="D114" s="2445">
        <v>86</v>
      </c>
      <c r="E114" s="1725" t="s">
        <v>1065</v>
      </c>
      <c r="F114" s="1726"/>
      <c r="G114" s="1726"/>
      <c r="H114" s="1726"/>
      <c r="I114" s="1726"/>
      <c r="J114" s="1726"/>
      <c r="K114" s="1726"/>
      <c r="L114" s="1726"/>
      <c r="M114" s="1726"/>
      <c r="N114" s="1726"/>
      <c r="O114" s="1727"/>
      <c r="P114" s="2446" t="s">
        <v>1066</v>
      </c>
      <c r="Q114" s="2447"/>
    </row>
    <row r="115" spans="1:17" ht="36.75" customHeight="1" thickBot="1" x14ac:dyDescent="0.4">
      <c r="A115" s="2442"/>
      <c r="B115" s="2443"/>
      <c r="C115" s="2444"/>
      <c r="D115" s="2445"/>
      <c r="E115" s="2488"/>
      <c r="F115" s="2489"/>
      <c r="G115" s="2489"/>
      <c r="H115" s="2489"/>
      <c r="I115" s="2489"/>
      <c r="J115" s="2489"/>
      <c r="K115" s="2489"/>
      <c r="L115" s="2489"/>
      <c r="M115" s="2489"/>
      <c r="N115" s="2489"/>
      <c r="O115" s="2490"/>
      <c r="P115" s="2446"/>
      <c r="Q115" s="2447"/>
    </row>
    <row r="116" spans="1:17" ht="12.75" customHeight="1" thickBot="1" x14ac:dyDescent="0.4">
      <c r="A116" s="1639"/>
      <c r="B116" s="1625"/>
      <c r="C116" s="1625"/>
      <c r="D116" s="1625"/>
      <c r="E116" s="1640"/>
      <c r="F116" s="1640"/>
      <c r="G116" s="1648"/>
      <c r="H116" s="1649"/>
      <c r="I116" s="1649"/>
      <c r="J116" s="1649"/>
      <c r="K116" s="1649"/>
      <c r="L116" s="2448"/>
      <c r="M116" s="2449"/>
      <c r="N116" s="2449"/>
      <c r="O116" s="2449"/>
      <c r="P116" s="2395"/>
      <c r="Q116" s="2396"/>
    </row>
    <row r="117" spans="1:17" x14ac:dyDescent="0.35">
      <c r="A117" s="94" t="s">
        <v>1067</v>
      </c>
      <c r="L117" s="94"/>
      <c r="M117" s="94"/>
      <c r="N117" s="94"/>
      <c r="O117" s="94"/>
    </row>
    <row r="118" spans="1:17" x14ac:dyDescent="0.35">
      <c r="A118" s="339" t="s">
        <v>1068</v>
      </c>
      <c r="B118" s="2482" t="s">
        <v>1069</v>
      </c>
      <c r="C118" s="2483"/>
      <c r="D118" s="2483"/>
      <c r="E118" s="2483"/>
      <c r="F118" s="2483"/>
      <c r="G118" s="2483"/>
      <c r="H118" s="2483"/>
      <c r="I118" s="2483"/>
      <c r="J118" s="2484"/>
      <c r="K118" s="2484"/>
      <c r="L118" s="2484"/>
      <c r="M118" s="2484"/>
      <c r="N118" s="2484"/>
      <c r="O118" s="2484"/>
    </row>
    <row r="119" spans="1:17" x14ac:dyDescent="0.35">
      <c r="A119" s="339" t="s">
        <v>1070</v>
      </c>
      <c r="B119" s="2485" t="s">
        <v>1071</v>
      </c>
      <c r="C119" s="2486"/>
      <c r="D119" s="2486"/>
      <c r="E119" s="2486"/>
      <c r="F119" s="2486"/>
      <c r="G119" s="2486"/>
      <c r="H119" s="2486"/>
      <c r="I119" s="2486"/>
      <c r="J119" s="2487"/>
      <c r="K119" s="2487"/>
      <c r="L119" s="2487"/>
      <c r="M119" s="2487"/>
      <c r="N119" s="2487"/>
      <c r="O119" s="2487"/>
    </row>
    <row r="120" spans="1:17" x14ac:dyDescent="0.35">
      <c r="A120" s="339" t="s">
        <v>1072</v>
      </c>
      <c r="B120" s="94" t="s">
        <v>1073</v>
      </c>
      <c r="L120" s="94"/>
      <c r="M120" s="94"/>
      <c r="N120" s="94"/>
      <c r="O120" s="94"/>
    </row>
  </sheetData>
  <mergeCells count="152">
    <mergeCell ref="R40:T40"/>
    <mergeCell ref="B48:D48"/>
    <mergeCell ref="F48:P48"/>
    <mergeCell ref="P49:Q49"/>
    <mergeCell ref="B29:D29"/>
    <mergeCell ref="F29:Q29"/>
    <mergeCell ref="B30:B32"/>
    <mergeCell ref="P30:Q30"/>
    <mergeCell ref="A36:Q36"/>
    <mergeCell ref="A37:A54"/>
    <mergeCell ref="B37:D37"/>
    <mergeCell ref="F37:Q37"/>
    <mergeCell ref="P39:Q39"/>
    <mergeCell ref="P34:Q34"/>
    <mergeCell ref="P35:Q35"/>
    <mergeCell ref="P32:Q32"/>
    <mergeCell ref="P33:Q33"/>
    <mergeCell ref="B38:D38"/>
    <mergeCell ref="F38:Q38"/>
    <mergeCell ref="P40:Q40"/>
    <mergeCell ref="P41:Q41"/>
    <mergeCell ref="P50:Q50"/>
    <mergeCell ref="P51:Q51"/>
    <mergeCell ref="P52:Q52"/>
    <mergeCell ref="B118:O118"/>
    <mergeCell ref="B119:O119"/>
    <mergeCell ref="L113:O113"/>
    <mergeCell ref="P113:Q113"/>
    <mergeCell ref="E111:O111"/>
    <mergeCell ref="P111:Q111"/>
    <mergeCell ref="E115:O115"/>
    <mergeCell ref="E112:O112"/>
    <mergeCell ref="P112:Q112"/>
    <mergeCell ref="L105:O105"/>
    <mergeCell ref="P105:Q105"/>
    <mergeCell ref="L116:O116"/>
    <mergeCell ref="P116:Q116"/>
    <mergeCell ref="P106:Q106"/>
    <mergeCell ref="E107:O107"/>
    <mergeCell ref="P107:Q107"/>
    <mergeCell ref="E108:O108"/>
    <mergeCell ref="P108:Q108"/>
    <mergeCell ref="E109:O109"/>
    <mergeCell ref="P109:Q109"/>
    <mergeCell ref="E110:O110"/>
    <mergeCell ref="P110:Q110"/>
    <mergeCell ref="A114:A115"/>
    <mergeCell ref="B114:B115"/>
    <mergeCell ref="C114:C115"/>
    <mergeCell ref="D114:D115"/>
    <mergeCell ref="P114:Q115"/>
    <mergeCell ref="P101:Q101"/>
    <mergeCell ref="L102:O102"/>
    <mergeCell ref="P102:Q102"/>
    <mergeCell ref="A103:A104"/>
    <mergeCell ref="B103:B104"/>
    <mergeCell ref="C103:C104"/>
    <mergeCell ref="D103:D104"/>
    <mergeCell ref="E103:O103"/>
    <mergeCell ref="P103:Q104"/>
    <mergeCell ref="E104:O104"/>
    <mergeCell ref="A92:A101"/>
    <mergeCell ref="B96:D96"/>
    <mergeCell ref="F96:Q96"/>
    <mergeCell ref="P97:Q97"/>
    <mergeCell ref="P98:Q98"/>
    <mergeCell ref="P99:Q99"/>
    <mergeCell ref="P100:Q100"/>
    <mergeCell ref="A106:A112"/>
    <mergeCell ref="E106:O106"/>
    <mergeCell ref="P87:Q87"/>
    <mergeCell ref="P88:Q88"/>
    <mergeCell ref="O89:Q89"/>
    <mergeCell ref="P90:Q90"/>
    <mergeCell ref="B92:D92"/>
    <mergeCell ref="F92:Q92"/>
    <mergeCell ref="P93:Q93"/>
    <mergeCell ref="P94:Q94"/>
    <mergeCell ref="P95:Q95"/>
    <mergeCell ref="H78:O78"/>
    <mergeCell ref="P78:Q78"/>
    <mergeCell ref="A79:A86"/>
    <mergeCell ref="C79:D79"/>
    <mergeCell ref="F79:O79"/>
    <mergeCell ref="P79:Q79"/>
    <mergeCell ref="P70:Q70"/>
    <mergeCell ref="P71:Q71"/>
    <mergeCell ref="P72:Q72"/>
    <mergeCell ref="P73:Q73"/>
    <mergeCell ref="P74:Q74"/>
    <mergeCell ref="P75:Q75"/>
    <mergeCell ref="P86:Q86"/>
    <mergeCell ref="P76:Q76"/>
    <mergeCell ref="P77:Q77"/>
    <mergeCell ref="P80:Q85"/>
    <mergeCell ref="P53:Q53"/>
    <mergeCell ref="P54:Q54"/>
    <mergeCell ref="P47:Q47"/>
    <mergeCell ref="P21:Q21"/>
    <mergeCell ref="P69:Q69"/>
    <mergeCell ref="A56:A77"/>
    <mergeCell ref="B56:D56"/>
    <mergeCell ref="F56:Q56"/>
    <mergeCell ref="P57:Q57"/>
    <mergeCell ref="P58:Q58"/>
    <mergeCell ref="P59:Q59"/>
    <mergeCell ref="P60:Q60"/>
    <mergeCell ref="P61:Q61"/>
    <mergeCell ref="P62:Q62"/>
    <mergeCell ref="P63:Q63"/>
    <mergeCell ref="P64:Q64"/>
    <mergeCell ref="P65:Q65"/>
    <mergeCell ref="P66:Q66"/>
    <mergeCell ref="P67:Q67"/>
    <mergeCell ref="P68:Q68"/>
    <mergeCell ref="P46:Q46"/>
    <mergeCell ref="P2:Q2"/>
    <mergeCell ref="P3:Q4"/>
    <mergeCell ref="H4:L4"/>
    <mergeCell ref="P5:Q6"/>
    <mergeCell ref="L7:Q7"/>
    <mergeCell ref="A55:Q55"/>
    <mergeCell ref="P42:Q42"/>
    <mergeCell ref="P43:Q43"/>
    <mergeCell ref="P44:Q44"/>
    <mergeCell ref="P45:Q45"/>
    <mergeCell ref="A8:A27"/>
    <mergeCell ref="P25:Q25"/>
    <mergeCell ref="A28:Q28"/>
    <mergeCell ref="A29:A35"/>
    <mergeCell ref="P10:Q10"/>
    <mergeCell ref="P11:Q11"/>
    <mergeCell ref="P12:Q12"/>
    <mergeCell ref="P13:Q13"/>
    <mergeCell ref="P14:Q14"/>
    <mergeCell ref="P15:Q15"/>
    <mergeCell ref="P16:Q16"/>
    <mergeCell ref="P17:Q17"/>
    <mergeCell ref="P19:Q19"/>
    <mergeCell ref="B8:D8"/>
    <mergeCell ref="F8:Q8"/>
    <mergeCell ref="B9:D9"/>
    <mergeCell ref="F9:Q9"/>
    <mergeCell ref="P22:Q22"/>
    <mergeCell ref="P23:Q23"/>
    <mergeCell ref="P24:Q24"/>
    <mergeCell ref="P31:Q31"/>
    <mergeCell ref="P18:Q18"/>
    <mergeCell ref="P27:Q27"/>
    <mergeCell ref="P20:Q20"/>
    <mergeCell ref="B15:B20"/>
    <mergeCell ref="P26:Q26"/>
  </mergeCells>
  <phoneticPr fontId="15" type="noConversion"/>
  <printOptions horizontalCentered="1"/>
  <pageMargins left="0.5" right="0.5" top="0.5" bottom="0.25" header="0.05" footer="0.05"/>
  <pageSetup paperSize="5" scale="94" fitToWidth="2" fitToHeight="6" orientation="landscape" r:id="rId1"/>
  <rowBreaks count="2" manualBreakCount="2">
    <brk id="36" max="16383" man="1"/>
    <brk id="77" max="16383" man="1"/>
  </rowBreaks>
  <ignoredErrors>
    <ignoredError sqref="L27 L35 L54 L77 L86 L93:L95 L99" formula="1"/>
    <ignoredError sqref="L88"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C587-8036-4C61-9601-D8B8D51F0542}">
  <dimension ref="A1:J38"/>
  <sheetViews>
    <sheetView showGridLines="0" workbookViewId="0">
      <selection activeCell="H15" sqref="H15"/>
    </sheetView>
  </sheetViews>
  <sheetFormatPr defaultColWidth="8.7265625" defaultRowHeight="14.5" x14ac:dyDescent="0.35"/>
  <cols>
    <col min="1" max="1" width="17" style="21" bestFit="1" customWidth="1"/>
    <col min="2" max="2" width="49.7265625" style="21" customWidth="1"/>
    <col min="3" max="7" width="15.7265625" style="21" customWidth="1"/>
    <col min="8" max="9" width="17.26953125" style="21" customWidth="1"/>
    <col min="10" max="10" width="15.7265625" style="21" customWidth="1"/>
    <col min="11" max="16384" width="8.7265625" style="21"/>
  </cols>
  <sheetData>
    <row r="1" spans="1:10" ht="15" thickBot="1" x14ac:dyDescent="0.4">
      <c r="A1" s="1650" t="s">
        <v>1074</v>
      </c>
      <c r="B1" s="1441"/>
      <c r="C1" s="1447"/>
      <c r="D1" s="1447"/>
      <c r="E1" s="1447"/>
      <c r="F1" s="1447"/>
      <c r="G1" s="1447"/>
      <c r="H1" s="1447"/>
      <c r="I1" s="1447"/>
      <c r="J1" s="1448"/>
    </row>
    <row r="2" spans="1:10" x14ac:dyDescent="0.35">
      <c r="A2" s="22" t="s">
        <v>45</v>
      </c>
      <c r="B2" s="23" t="str">
        <f>'FS-Balance Sheet 3.04'!B4</f>
        <v>Select Contractor Name</v>
      </c>
    </row>
    <row r="3" spans="1:10" x14ac:dyDescent="0.35">
      <c r="A3" s="39" t="s">
        <v>424</v>
      </c>
      <c r="B3" s="40" t="str">
        <f>'FS-Balance Sheet 3.04'!B5</f>
        <v>mm/dd/yyyy</v>
      </c>
    </row>
    <row r="4" spans="1:10" x14ac:dyDescent="0.35">
      <c r="A4" s="41" t="s">
        <v>898</v>
      </c>
      <c r="B4" s="40">
        <f>'MLR H-1  '!B3</f>
        <v>45565</v>
      </c>
    </row>
    <row r="5" spans="1:10" ht="15" thickBot="1" x14ac:dyDescent="0.4">
      <c r="H5" s="42"/>
      <c r="I5" s="42"/>
    </row>
    <row r="6" spans="1:10" ht="15" thickBot="1" x14ac:dyDescent="0.4">
      <c r="C6" s="2534" t="s">
        <v>901</v>
      </c>
      <c r="D6" s="2535"/>
      <c r="E6" s="2535"/>
      <c r="F6" s="2535"/>
      <c r="G6" s="2536"/>
      <c r="H6" s="43" t="s">
        <v>1075</v>
      </c>
      <c r="I6" s="43" t="s">
        <v>1076</v>
      </c>
      <c r="J6" s="1651" t="s">
        <v>733</v>
      </c>
    </row>
    <row r="7" spans="1:10" ht="29.5" thickBot="1" x14ac:dyDescent="0.4">
      <c r="A7" s="44"/>
      <c r="B7" s="45"/>
      <c r="C7" s="1728">
        <f>'MLR H-1  '!H5</f>
        <v>45291</v>
      </c>
      <c r="D7" s="1729">
        <f>'MLR H-1  '!I5</f>
        <v>45382</v>
      </c>
      <c r="E7" s="1729">
        <f>'MLR H-1  '!J5</f>
        <v>45473</v>
      </c>
      <c r="F7" s="1730">
        <f>'MLR H-1  '!K5</f>
        <v>45565</v>
      </c>
      <c r="G7" s="1731" t="str">
        <f>'MLR H-1  '!L5</f>
        <v>CYE 24</v>
      </c>
      <c r="H7" s="1732" t="s">
        <v>732</v>
      </c>
      <c r="I7" s="1733" t="s">
        <v>732</v>
      </c>
      <c r="J7" s="1734" t="str">
        <f>'MLR H-1  '!O5</f>
        <v>Restated CYE 24</v>
      </c>
    </row>
    <row r="8" spans="1:10" x14ac:dyDescent="0.35">
      <c r="A8" s="46" t="s">
        <v>1070</v>
      </c>
      <c r="B8" s="22" t="s">
        <v>953</v>
      </c>
      <c r="C8" s="47">
        <f>'MLR H-1  '!H27</f>
        <v>0</v>
      </c>
      <c r="D8" s="48">
        <f>'MLR H-1  '!I27</f>
        <v>0</v>
      </c>
      <c r="E8" s="48">
        <f>'MLR H-1  '!J27</f>
        <v>0</v>
      </c>
      <c r="F8" s="49">
        <f>'MLR H-1  '!K27</f>
        <v>0</v>
      </c>
      <c r="G8" s="50">
        <f>SUM(C8:F8)</f>
        <v>0</v>
      </c>
      <c r="H8" s="51">
        <f>'MLR H-1  '!M27</f>
        <v>0</v>
      </c>
      <c r="I8" s="49">
        <f>'MLR H-1  '!N27</f>
        <v>0</v>
      </c>
      <c r="J8" s="52">
        <f>SUM(G8:I8)</f>
        <v>0</v>
      </c>
    </row>
    <row r="9" spans="1:10" x14ac:dyDescent="0.35">
      <c r="A9" s="46" t="s">
        <v>1072</v>
      </c>
      <c r="B9" s="53" t="s">
        <v>1077</v>
      </c>
      <c r="C9" s="54">
        <f>'MLR H-1  '!H35</f>
        <v>0</v>
      </c>
      <c r="D9" s="55">
        <f>'MLR H-1  '!I35</f>
        <v>0</v>
      </c>
      <c r="E9" s="55">
        <f>'MLR H-1  '!J35</f>
        <v>0</v>
      </c>
      <c r="F9" s="56">
        <f>'MLR H-1  '!K35</f>
        <v>0</v>
      </c>
      <c r="G9" s="57">
        <f>SUM(C9:F9)</f>
        <v>0</v>
      </c>
      <c r="H9" s="58">
        <f>'MLR H-1  '!M35</f>
        <v>0</v>
      </c>
      <c r="I9" s="56">
        <f>'MLR H-1  '!N35</f>
        <v>0</v>
      </c>
      <c r="J9" s="59">
        <f t="shared" ref="J9:J19" si="0">SUM(G9:I9)</f>
        <v>0</v>
      </c>
    </row>
    <row r="10" spans="1:10" x14ac:dyDescent="0.35">
      <c r="A10" s="46" t="s">
        <v>1078</v>
      </c>
      <c r="B10" s="60" t="s">
        <v>1003</v>
      </c>
      <c r="C10" s="54">
        <f>'MLR H-1  '!H54</f>
        <v>0</v>
      </c>
      <c r="D10" s="55">
        <f>'MLR H-1  '!I54</f>
        <v>0</v>
      </c>
      <c r="E10" s="55">
        <f>'MLR H-1  '!J54</f>
        <v>0</v>
      </c>
      <c r="F10" s="56">
        <f>'MLR H-1  '!K54</f>
        <v>0</v>
      </c>
      <c r="G10" s="57">
        <f t="shared" ref="G10:G13" si="1">SUM(C10:F10)</f>
        <v>0</v>
      </c>
      <c r="H10" s="58">
        <f>'MLR H-1  '!M54</f>
        <v>0</v>
      </c>
      <c r="I10" s="56">
        <f>'MLR H-1  '!N54</f>
        <v>0</v>
      </c>
      <c r="J10" s="59">
        <f t="shared" si="0"/>
        <v>0</v>
      </c>
    </row>
    <row r="11" spans="1:10" x14ac:dyDescent="0.35">
      <c r="A11" s="46" t="s">
        <v>1079</v>
      </c>
      <c r="B11" s="60" t="s">
        <v>1023</v>
      </c>
      <c r="C11" s="54">
        <f>'MLR H-1  '!H77</f>
        <v>0</v>
      </c>
      <c r="D11" s="55">
        <f>'MLR H-1  '!I77</f>
        <v>0</v>
      </c>
      <c r="E11" s="55">
        <f>'MLR H-1  '!J77</f>
        <v>0</v>
      </c>
      <c r="F11" s="56">
        <f>'MLR H-1  '!K77</f>
        <v>0</v>
      </c>
      <c r="G11" s="57">
        <f t="shared" si="1"/>
        <v>0</v>
      </c>
      <c r="H11" s="58">
        <f>'MLR H-1  '!M77</f>
        <v>0</v>
      </c>
      <c r="I11" s="56">
        <f>'MLR H-1  '!N77</f>
        <v>0</v>
      </c>
      <c r="J11" s="59">
        <f t="shared" si="0"/>
        <v>0</v>
      </c>
    </row>
    <row r="12" spans="1:10" ht="29" x14ac:dyDescent="0.35">
      <c r="A12" s="46" t="s">
        <v>1080</v>
      </c>
      <c r="B12" s="61" t="s">
        <v>1042</v>
      </c>
      <c r="C12" s="54">
        <f>'MLR H-1  '!H86</f>
        <v>0</v>
      </c>
      <c r="D12" s="55">
        <f>'MLR H-1  '!I86</f>
        <v>0</v>
      </c>
      <c r="E12" s="55">
        <f>'MLR H-1  '!J86</f>
        <v>0</v>
      </c>
      <c r="F12" s="56">
        <f>'MLR H-1  '!K86</f>
        <v>0</v>
      </c>
      <c r="G12" s="57">
        <f t="shared" si="1"/>
        <v>0</v>
      </c>
      <c r="H12" s="58">
        <f>'MLR H-1  '!M86</f>
        <v>0</v>
      </c>
      <c r="I12" s="56">
        <f>'MLR H-1  '!N86</f>
        <v>0</v>
      </c>
      <c r="J12" s="59">
        <f t="shared" si="0"/>
        <v>0</v>
      </c>
    </row>
    <row r="13" spans="1:10" ht="29.5" thickBot="1" x14ac:dyDescent="0.4">
      <c r="A13" s="46" t="s">
        <v>1081</v>
      </c>
      <c r="B13" s="62" t="s">
        <v>1045</v>
      </c>
      <c r="C13" s="63">
        <f>'MLR H-1  '!H88</f>
        <v>0</v>
      </c>
      <c r="D13" s="64">
        <f>'MLR H-1  '!I88</f>
        <v>0</v>
      </c>
      <c r="E13" s="64">
        <f>'MLR H-1  '!J88</f>
        <v>0</v>
      </c>
      <c r="F13" s="65">
        <f>'MLR H-1  '!K88</f>
        <v>0</v>
      </c>
      <c r="G13" s="66">
        <f t="shared" si="1"/>
        <v>0</v>
      </c>
      <c r="H13" s="67">
        <f>'MLR H-1  '!M88</f>
        <v>0</v>
      </c>
      <c r="I13" s="68">
        <f>'MLR H-1  '!N88</f>
        <v>0</v>
      </c>
      <c r="J13" s="59">
        <f t="shared" si="0"/>
        <v>0</v>
      </c>
    </row>
    <row r="14" spans="1:10" ht="15" thickBot="1" x14ac:dyDescent="0.4">
      <c r="A14" s="46" t="s">
        <v>1082</v>
      </c>
      <c r="B14" s="69" t="s">
        <v>1083</v>
      </c>
      <c r="C14" s="70">
        <f>C8-SUM(C9:C13)</f>
        <v>0</v>
      </c>
      <c r="D14" s="71">
        <f t="shared" ref="D14:I14" si="2">D8-SUM(D9:D13)</f>
        <v>0</v>
      </c>
      <c r="E14" s="71">
        <f t="shared" si="2"/>
        <v>0</v>
      </c>
      <c r="F14" s="72">
        <f t="shared" si="2"/>
        <v>0</v>
      </c>
      <c r="G14" s="73">
        <f t="shared" ref="G14:G20" si="3">SUM(C14:F14)</f>
        <v>0</v>
      </c>
      <c r="H14" s="74">
        <f>H8-SUM(H9:H13)</f>
        <v>0</v>
      </c>
      <c r="I14" s="75">
        <f t="shared" si="2"/>
        <v>0</v>
      </c>
      <c r="J14" s="76">
        <f>SUM(G14:I14)</f>
        <v>0</v>
      </c>
    </row>
    <row r="15" spans="1:10" x14ac:dyDescent="0.35">
      <c r="A15" s="46" t="s">
        <v>1084</v>
      </c>
      <c r="B15" s="53" t="s">
        <v>1085</v>
      </c>
      <c r="C15" s="1778">
        <v>0</v>
      </c>
      <c r="D15" s="1780">
        <v>0</v>
      </c>
      <c r="E15" s="1780">
        <v>0</v>
      </c>
      <c r="F15" s="1783">
        <v>0</v>
      </c>
      <c r="G15" s="50">
        <f t="shared" si="3"/>
        <v>0</v>
      </c>
      <c r="H15" s="1985"/>
      <c r="I15" s="1981"/>
      <c r="J15" s="52">
        <f>SUM(G15:I15)</f>
        <v>0</v>
      </c>
    </row>
    <row r="16" spans="1:10" x14ac:dyDescent="0.35">
      <c r="A16" s="46" t="s">
        <v>1084</v>
      </c>
      <c r="B16" s="53" t="s">
        <v>1086</v>
      </c>
      <c r="C16" s="77">
        <v>0</v>
      </c>
      <c r="D16" s="78">
        <v>0</v>
      </c>
      <c r="E16" s="78">
        <v>0</v>
      </c>
      <c r="F16" s="1784">
        <v>0</v>
      </c>
      <c r="G16" s="57">
        <f t="shared" si="3"/>
        <v>0</v>
      </c>
      <c r="H16" s="1986"/>
      <c r="I16" s="1982"/>
      <c r="J16" s="59">
        <f t="shared" si="0"/>
        <v>0</v>
      </c>
    </row>
    <row r="17" spans="1:10" x14ac:dyDescent="0.35">
      <c r="A17" s="46" t="s">
        <v>1087</v>
      </c>
      <c r="B17" s="53" t="s">
        <v>1088</v>
      </c>
      <c r="C17" s="79">
        <f>'MLR H-1  '!H34</f>
        <v>0</v>
      </c>
      <c r="D17" s="1781">
        <f>'MLR H-1  '!I34</f>
        <v>0</v>
      </c>
      <c r="E17" s="1781">
        <f>'MLR H-1  '!J34</f>
        <v>0</v>
      </c>
      <c r="F17" s="1776">
        <f>'MLR H-1  '!K34</f>
        <v>0</v>
      </c>
      <c r="G17" s="57">
        <f t="shared" si="3"/>
        <v>0</v>
      </c>
      <c r="H17" s="1983"/>
      <c r="I17" s="1983"/>
      <c r="J17" s="59">
        <f t="shared" si="0"/>
        <v>0</v>
      </c>
    </row>
    <row r="18" spans="1:10" ht="29.5" thickBot="1" x14ac:dyDescent="0.4">
      <c r="A18" s="46" t="s">
        <v>1089</v>
      </c>
      <c r="B18" s="53" t="s">
        <v>1090</v>
      </c>
      <c r="C18" s="1779">
        <f>'MLR H-1  '!H42</f>
        <v>0</v>
      </c>
      <c r="D18" s="1782">
        <f>'MLR H-1  '!I42</f>
        <v>0</v>
      </c>
      <c r="E18" s="1782">
        <f>'MLR H-1  '!J42</f>
        <v>0</v>
      </c>
      <c r="F18" s="1777">
        <f>'MLR H-1  '!K42</f>
        <v>0</v>
      </c>
      <c r="G18" s="57">
        <f>SUM(C18:F18)</f>
        <v>0</v>
      </c>
      <c r="H18" s="1984"/>
      <c r="I18" s="1984"/>
      <c r="J18" s="59">
        <f>SUM(G18:I18)</f>
        <v>0</v>
      </c>
    </row>
    <row r="19" spans="1:10" ht="15" thickBot="1" x14ac:dyDescent="0.4">
      <c r="A19" s="46" t="s">
        <v>1091</v>
      </c>
      <c r="B19" s="53" t="s">
        <v>1092</v>
      </c>
      <c r="C19" s="80">
        <f>C15-C16-C17</f>
        <v>0</v>
      </c>
      <c r="D19" s="81">
        <f t="shared" ref="D19:F19" si="4">D15-D16-D17</f>
        <v>0</v>
      </c>
      <c r="E19" s="81">
        <f t="shared" si="4"/>
        <v>0</v>
      </c>
      <c r="F19" s="82">
        <f t="shared" si="4"/>
        <v>0</v>
      </c>
      <c r="G19" s="83">
        <f t="shared" si="3"/>
        <v>0</v>
      </c>
      <c r="H19" s="84"/>
      <c r="I19" s="85"/>
      <c r="J19" s="76">
        <f t="shared" si="0"/>
        <v>0</v>
      </c>
    </row>
    <row r="20" spans="1:10" ht="15" thickBot="1" x14ac:dyDescent="0.4">
      <c r="A20" s="46" t="s">
        <v>1093</v>
      </c>
      <c r="B20" s="86" t="s">
        <v>702</v>
      </c>
      <c r="C20" s="87">
        <f>C14-C19</f>
        <v>0</v>
      </c>
      <c r="D20" s="88">
        <f>D14-D19</f>
        <v>0</v>
      </c>
      <c r="E20" s="88">
        <f>E14-E19</f>
        <v>0</v>
      </c>
      <c r="F20" s="89">
        <f>F14-F19</f>
        <v>0</v>
      </c>
      <c r="G20" s="90">
        <f t="shared" si="3"/>
        <v>0</v>
      </c>
      <c r="H20" s="91"/>
      <c r="I20" s="89"/>
      <c r="J20" s="90"/>
    </row>
    <row r="22" spans="1:10" ht="20.149999999999999" customHeight="1" x14ac:dyDescent="0.35">
      <c r="B22" s="92"/>
      <c r="C22" s="92"/>
      <c r="D22" s="92"/>
      <c r="E22" s="92"/>
      <c r="F22" s="92"/>
      <c r="G22" s="92"/>
      <c r="H22" s="92"/>
      <c r="I22" s="92"/>
      <c r="J22" s="92"/>
    </row>
    <row r="23" spans="1:10" ht="32.25" customHeight="1" x14ac:dyDescent="0.35"/>
    <row r="24" spans="1:10" ht="16.5" customHeight="1" x14ac:dyDescent="0.35">
      <c r="B24" s="93" t="s">
        <v>1094</v>
      </c>
    </row>
    <row r="25" spans="1:10" x14ac:dyDescent="0.35">
      <c r="A25" s="46" t="s">
        <v>1075</v>
      </c>
      <c r="B25" s="2533" t="s">
        <v>1095</v>
      </c>
      <c r="C25" s="2533"/>
      <c r="D25" s="2533"/>
      <c r="E25" s="2533"/>
      <c r="F25" s="2533"/>
      <c r="G25" s="2533"/>
      <c r="H25" s="2533"/>
      <c r="I25" s="2533"/>
      <c r="J25" s="2533"/>
    </row>
    <row r="26" spans="1:10" x14ac:dyDescent="0.35">
      <c r="A26" s="46" t="s">
        <v>1076</v>
      </c>
      <c r="B26" s="2533" t="s">
        <v>1096</v>
      </c>
      <c r="C26" s="2533"/>
      <c r="D26" s="2533"/>
      <c r="E26" s="2533"/>
      <c r="F26" s="2533"/>
      <c r="G26" s="2533"/>
      <c r="H26" s="2533"/>
      <c r="I26" s="2533"/>
      <c r="J26" s="2533"/>
    </row>
    <row r="27" spans="1:10" x14ac:dyDescent="0.35">
      <c r="A27" s="46" t="str">
        <f t="shared" ref="A27:A34" si="5">A8</f>
        <v>[2]</v>
      </c>
      <c r="B27" s="2533" t="s">
        <v>1097</v>
      </c>
      <c r="C27" s="2533"/>
      <c r="D27" s="2533"/>
      <c r="E27" s="2533"/>
      <c r="F27" s="2533"/>
      <c r="G27" s="2533"/>
      <c r="H27" s="2533"/>
      <c r="I27" s="2533"/>
      <c r="J27" s="2533"/>
    </row>
    <row r="28" spans="1:10" ht="15" customHeight="1" x14ac:dyDescent="0.35">
      <c r="A28" s="46" t="str">
        <f t="shared" si="5"/>
        <v>[3]</v>
      </c>
      <c r="B28" s="2533" t="s">
        <v>1098</v>
      </c>
      <c r="C28" s="2533"/>
      <c r="D28" s="2533"/>
      <c r="E28" s="2533"/>
      <c r="F28" s="2533"/>
      <c r="G28" s="2533"/>
      <c r="H28" s="2533"/>
      <c r="I28" s="2533"/>
      <c r="J28" s="2533"/>
    </row>
    <row r="29" spans="1:10" ht="15" customHeight="1" x14ac:dyDescent="0.35">
      <c r="A29" s="46" t="str">
        <f t="shared" si="5"/>
        <v>[4]</v>
      </c>
      <c r="B29" s="2533" t="s">
        <v>1099</v>
      </c>
      <c r="C29" s="2533"/>
      <c r="D29" s="2533"/>
      <c r="E29" s="2533"/>
      <c r="F29" s="2533"/>
      <c r="G29" s="2533"/>
      <c r="H29" s="2533"/>
      <c r="I29" s="2533"/>
      <c r="J29" s="2533"/>
    </row>
    <row r="30" spans="1:10" ht="14.5" customHeight="1" x14ac:dyDescent="0.35">
      <c r="A30" s="46" t="str">
        <f t="shared" si="5"/>
        <v>[5]</v>
      </c>
      <c r="B30" s="2533" t="s">
        <v>1100</v>
      </c>
      <c r="C30" s="2533"/>
      <c r="D30" s="2533"/>
      <c r="E30" s="2533"/>
      <c r="F30" s="2533"/>
      <c r="G30" s="2533"/>
      <c r="H30" s="2533"/>
      <c r="I30" s="2533"/>
      <c r="J30" s="2533"/>
    </row>
    <row r="31" spans="1:10" ht="14.5" customHeight="1" x14ac:dyDescent="0.35">
      <c r="A31" s="46" t="str">
        <f t="shared" si="5"/>
        <v>[6]</v>
      </c>
      <c r="B31" s="2533" t="s">
        <v>1101</v>
      </c>
      <c r="C31" s="2533"/>
      <c r="D31" s="2533"/>
      <c r="E31" s="2533"/>
      <c r="F31" s="2533"/>
      <c r="G31" s="2533"/>
      <c r="H31" s="2533"/>
      <c r="I31" s="2533"/>
      <c r="J31" s="2533"/>
    </row>
    <row r="32" spans="1:10" ht="14.5" customHeight="1" x14ac:dyDescent="0.35">
      <c r="A32" s="46" t="str">
        <f t="shared" si="5"/>
        <v>[7]</v>
      </c>
      <c r="B32" s="2533" t="s">
        <v>1102</v>
      </c>
      <c r="C32" s="2533"/>
      <c r="D32" s="2533"/>
      <c r="E32" s="2533"/>
      <c r="F32" s="2533"/>
      <c r="G32" s="2533"/>
      <c r="H32" s="2533"/>
      <c r="I32" s="2533"/>
      <c r="J32" s="2533"/>
    </row>
    <row r="33" spans="1:10" ht="14.5" customHeight="1" x14ac:dyDescent="0.35">
      <c r="A33" s="46" t="str">
        <f t="shared" si="5"/>
        <v>[8]</v>
      </c>
      <c r="B33" s="2533" t="s">
        <v>1103</v>
      </c>
      <c r="C33" s="2533"/>
      <c r="D33" s="2533"/>
      <c r="E33" s="2533"/>
      <c r="F33" s="2533"/>
      <c r="G33" s="2533"/>
      <c r="H33" s="2533"/>
      <c r="I33" s="2533"/>
      <c r="J33" s="2533"/>
    </row>
    <row r="34" spans="1:10" x14ac:dyDescent="0.35">
      <c r="A34" s="46" t="str">
        <f t="shared" si="5"/>
        <v>[9]</v>
      </c>
      <c r="B34" s="2538" t="s">
        <v>1104</v>
      </c>
      <c r="C34" s="2538"/>
      <c r="D34" s="2538"/>
      <c r="E34" s="2538"/>
      <c r="F34" s="2538"/>
      <c r="G34" s="2538"/>
      <c r="H34" s="2538"/>
      <c r="I34" s="2538"/>
      <c r="J34" s="2538"/>
    </row>
    <row r="35" spans="1:10" x14ac:dyDescent="0.35">
      <c r="A35" s="46" t="str">
        <f>A17</f>
        <v>[10]</v>
      </c>
      <c r="B35" s="2537" t="s">
        <v>1105</v>
      </c>
      <c r="C35" s="2537"/>
      <c r="D35" s="2537"/>
      <c r="E35" s="2537"/>
      <c r="F35" s="2537"/>
      <c r="G35" s="2537"/>
      <c r="H35" s="2537"/>
      <c r="I35" s="2537"/>
      <c r="J35" s="2537"/>
    </row>
    <row r="36" spans="1:10" x14ac:dyDescent="0.35">
      <c r="A36" s="46" t="str">
        <f>A18</f>
        <v>[11]</v>
      </c>
      <c r="B36" s="2537" t="s">
        <v>1106</v>
      </c>
      <c r="C36" s="2537"/>
      <c r="D36" s="2537"/>
      <c r="E36" s="2537"/>
      <c r="F36" s="2537"/>
      <c r="G36" s="2537"/>
      <c r="H36" s="2537"/>
      <c r="I36" s="2537"/>
      <c r="J36" s="2537"/>
    </row>
    <row r="37" spans="1:10" x14ac:dyDescent="0.35">
      <c r="A37" s="46" t="str">
        <f>A19</f>
        <v>[12]</v>
      </c>
      <c r="B37" s="2533" t="s">
        <v>1103</v>
      </c>
      <c r="C37" s="2533"/>
      <c r="D37" s="2533"/>
      <c r="E37" s="2533"/>
      <c r="F37" s="2533"/>
      <c r="G37" s="2533"/>
      <c r="H37" s="2533"/>
      <c r="I37" s="2533"/>
      <c r="J37" s="2533"/>
    </row>
    <row r="38" spans="1:10" x14ac:dyDescent="0.35">
      <c r="A38" s="34" t="str">
        <f>A20</f>
        <v>[13]</v>
      </c>
      <c r="B38" s="21" t="s">
        <v>1107</v>
      </c>
    </row>
  </sheetData>
  <mergeCells count="14">
    <mergeCell ref="B26:J26"/>
    <mergeCell ref="B25:J25"/>
    <mergeCell ref="C6:G6"/>
    <mergeCell ref="B35:J35"/>
    <mergeCell ref="B37:J37"/>
    <mergeCell ref="B33:J33"/>
    <mergeCell ref="B34:J34"/>
    <mergeCell ref="B27:J27"/>
    <mergeCell ref="B28:J28"/>
    <mergeCell ref="B29:J29"/>
    <mergeCell ref="B30:J30"/>
    <mergeCell ref="B31:J31"/>
    <mergeCell ref="B32:J32"/>
    <mergeCell ref="B36:J36"/>
  </mergeCells>
  <conditionalFormatting sqref="C20:G20">
    <cfRule type="cellIs" dxfId="2" priority="1" operator="lessThan">
      <formula>-1</formula>
    </cfRule>
    <cfRule type="cellIs" dxfId="1" priority="2" operator="greaterThan">
      <formula>1</formula>
    </cfRule>
    <cfRule type="cellIs" dxfId="0" priority="3" operator="between">
      <formula>1</formula>
      <formula>-1</formula>
    </cfRule>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3893-FE06-4B77-9AD0-4C7F6754C634}">
  <dimension ref="A1:S22"/>
  <sheetViews>
    <sheetView showGridLines="0" zoomScaleNormal="100" workbookViewId="0">
      <selection activeCell="P16" sqref="P16:Q16"/>
    </sheetView>
  </sheetViews>
  <sheetFormatPr defaultColWidth="9.1796875" defaultRowHeight="14.5" x14ac:dyDescent="0.35"/>
  <cols>
    <col min="1" max="1" width="17.453125" style="21" customWidth="1"/>
    <col min="2" max="2" width="9.81640625" style="21" bestFit="1" customWidth="1"/>
    <col min="3" max="7" width="9.1796875" style="21"/>
    <col min="8" max="17" width="8.26953125" style="21" customWidth="1"/>
    <col min="18" max="18" width="9.1796875" style="21"/>
    <col min="19" max="19" width="19.453125" style="21" customWidth="1"/>
    <col min="20" max="16384" width="9.1796875" style="21"/>
  </cols>
  <sheetData>
    <row r="1" spans="1:19" ht="15" thickBot="1" x14ac:dyDescent="0.4">
      <c r="A1" s="1650" t="s">
        <v>1108</v>
      </c>
      <c r="B1" s="1441"/>
      <c r="C1" s="1441"/>
      <c r="D1" s="1441"/>
      <c r="E1" s="1441"/>
      <c r="F1" s="1447"/>
      <c r="G1" s="1447"/>
      <c r="H1" s="1447"/>
      <c r="I1" s="1447"/>
      <c r="J1" s="1447"/>
      <c r="K1" s="1447"/>
      <c r="L1" s="1447"/>
      <c r="M1" s="1447"/>
      <c r="N1" s="1447"/>
      <c r="O1" s="1447"/>
      <c r="P1" s="1447"/>
      <c r="Q1" s="1447"/>
      <c r="R1" s="1447"/>
      <c r="S1" s="1448"/>
    </row>
    <row r="2" spans="1:19" x14ac:dyDescent="0.35">
      <c r="A2" s="22" t="s">
        <v>45</v>
      </c>
      <c r="B2" s="23" t="str">
        <f>'FS-Balance Sheet 3.04'!B4</f>
        <v>Select Contractor Name</v>
      </c>
    </row>
    <row r="4" spans="1:19" ht="15" thickBot="1" x14ac:dyDescent="0.4"/>
    <row r="5" spans="1:19" ht="15" thickBot="1" x14ac:dyDescent="0.4">
      <c r="B5" s="2142" t="str">
        <f>"Financial Viability Calculation Contract Year-To-Date "&amp;TEXT('Instruction &amp; Audit Report B '!$C$23,"yyyy")</f>
        <v>Financial Viability Calculation Contract Year-To-Date 2025</v>
      </c>
      <c r="C5" s="2143"/>
      <c r="D5" s="2143"/>
      <c r="E5" s="2143"/>
      <c r="F5" s="2143"/>
      <c r="G5" s="2143"/>
      <c r="H5" s="2143"/>
      <c r="I5" s="2143"/>
      <c r="J5" s="2143"/>
      <c r="K5" s="2143"/>
      <c r="L5" s="2143"/>
      <c r="M5" s="2143"/>
      <c r="N5" s="2143"/>
      <c r="O5" s="2143"/>
      <c r="P5" s="2143"/>
      <c r="Q5" s="2143"/>
      <c r="R5" s="2143"/>
      <c r="S5" s="2144"/>
    </row>
    <row r="6" spans="1:19" ht="15" thickBot="1" x14ac:dyDescent="0.4">
      <c r="B6" s="24"/>
      <c r="C6" s="25"/>
      <c r="D6" s="25"/>
      <c r="E6" s="25"/>
      <c r="F6" s="25"/>
      <c r="G6" s="25"/>
      <c r="H6" s="25"/>
      <c r="I6" s="25"/>
      <c r="J6" s="25"/>
      <c r="K6" s="25"/>
      <c r="L6" s="25"/>
      <c r="M6" s="25"/>
      <c r="N6" s="25"/>
      <c r="O6" s="25"/>
      <c r="P6" s="25"/>
      <c r="Q6" s="25"/>
      <c r="R6" s="25"/>
      <c r="S6" s="26"/>
    </row>
    <row r="7" spans="1:19" ht="15" thickBot="1" x14ac:dyDescent="0.4">
      <c r="B7" s="27" t="s">
        <v>1109</v>
      </c>
      <c r="H7" s="2562">
        <v>0</v>
      </c>
      <c r="I7" s="2563"/>
      <c r="J7" s="21" t="s">
        <v>1110</v>
      </c>
      <c r="S7" s="28"/>
    </row>
    <row r="8" spans="1:19" x14ac:dyDescent="0.35">
      <c r="B8" s="27"/>
      <c r="S8" s="28"/>
    </row>
    <row r="9" spans="1:19" x14ac:dyDescent="0.35">
      <c r="B9" s="29" t="s">
        <v>1111</v>
      </c>
      <c r="S9" s="28"/>
    </row>
    <row r="10" spans="1:19" ht="15" thickBot="1" x14ac:dyDescent="0.4">
      <c r="B10" s="27"/>
      <c r="S10" s="28"/>
    </row>
    <row r="11" spans="1:19" x14ac:dyDescent="0.35">
      <c r="B11" s="27"/>
      <c r="H11" s="2231" t="s">
        <v>75</v>
      </c>
      <c r="I11" s="2232"/>
      <c r="J11" s="2543" t="s">
        <v>76</v>
      </c>
      <c r="K11" s="2232"/>
      <c r="L11" s="2543" t="s">
        <v>77</v>
      </c>
      <c r="M11" s="2232"/>
      <c r="N11" s="2543" t="s">
        <v>78</v>
      </c>
      <c r="O11" s="2232"/>
      <c r="P11" s="2544" t="s">
        <v>876</v>
      </c>
      <c r="Q11" s="2545"/>
      <c r="S11" s="28"/>
    </row>
    <row r="12" spans="1:19" ht="15" thickBot="1" x14ac:dyDescent="0.4">
      <c r="B12" s="27"/>
      <c r="H12" s="2539">
        <f>DATE(P12-1,12,31)</f>
        <v>45657</v>
      </c>
      <c r="I12" s="2540" t="e">
        <f>DATE(#REF!-1,12,31)</f>
        <v>#REF!</v>
      </c>
      <c r="J12" s="2541">
        <f>EOMONTH(H12,3)</f>
        <v>45747</v>
      </c>
      <c r="K12" s="2540"/>
      <c r="L12" s="2541">
        <f>EOMONTH(J12,3)</f>
        <v>45838</v>
      </c>
      <c r="M12" s="2540"/>
      <c r="N12" s="2541">
        <f>EOMONTH(L12,3)</f>
        <v>45930</v>
      </c>
      <c r="O12" s="2540"/>
      <c r="P12" s="2542" t="str">
        <f>RIGHT(B5,4)</f>
        <v>2025</v>
      </c>
      <c r="Q12" s="2194"/>
      <c r="S12" s="28"/>
    </row>
    <row r="13" spans="1:19" x14ac:dyDescent="0.35">
      <c r="B13" s="30">
        <v>99999</v>
      </c>
      <c r="C13" s="11" t="s">
        <v>1112</v>
      </c>
      <c r="D13" s="11"/>
      <c r="H13" s="2578">
        <v>0</v>
      </c>
      <c r="I13" s="2547"/>
      <c r="J13" s="2546">
        <v>0</v>
      </c>
      <c r="K13" s="2547"/>
      <c r="L13" s="2546">
        <v>0</v>
      </c>
      <c r="M13" s="2547"/>
      <c r="N13" s="2546">
        <v>0</v>
      </c>
      <c r="O13" s="2547"/>
      <c r="P13" s="2548">
        <f>SUM(H13:O13)</f>
        <v>0</v>
      </c>
      <c r="Q13" s="2549"/>
      <c r="R13" s="31" t="s">
        <v>1113</v>
      </c>
      <c r="S13" s="28"/>
    </row>
    <row r="14" spans="1:19" x14ac:dyDescent="0.35">
      <c r="B14" s="30"/>
      <c r="C14" s="32" t="s">
        <v>1114</v>
      </c>
      <c r="D14" s="11"/>
      <c r="H14" s="2555">
        <v>0</v>
      </c>
      <c r="I14" s="2556"/>
      <c r="J14" s="2557">
        <v>0</v>
      </c>
      <c r="K14" s="2556"/>
      <c r="L14" s="2557">
        <v>0</v>
      </c>
      <c r="M14" s="2556"/>
      <c r="N14" s="2557">
        <v>0</v>
      </c>
      <c r="O14" s="2556"/>
      <c r="P14" s="2558">
        <f>SUM(H14:O14)</f>
        <v>0</v>
      </c>
      <c r="Q14" s="2559"/>
      <c r="R14" s="31" t="s">
        <v>1115</v>
      </c>
      <c r="S14" s="28"/>
    </row>
    <row r="15" spans="1:19" x14ac:dyDescent="0.35">
      <c r="B15" s="27"/>
      <c r="C15" s="21" t="s">
        <v>1116</v>
      </c>
      <c r="H15" s="2550">
        <v>0</v>
      </c>
      <c r="I15" s="2551"/>
      <c r="J15" s="2552">
        <v>0</v>
      </c>
      <c r="K15" s="2551"/>
      <c r="L15" s="2552">
        <v>0</v>
      </c>
      <c r="M15" s="2551"/>
      <c r="N15" s="2552">
        <v>0</v>
      </c>
      <c r="O15" s="2551"/>
      <c r="P15" s="2553">
        <f>SUM(H15:O15)</f>
        <v>0</v>
      </c>
      <c r="Q15" s="2554"/>
      <c r="R15" s="31" t="s">
        <v>1115</v>
      </c>
      <c r="S15" s="28"/>
    </row>
    <row r="16" spans="1:19" x14ac:dyDescent="0.35">
      <c r="B16" s="27"/>
      <c r="C16" s="21" t="s">
        <v>1117</v>
      </c>
      <c r="H16" s="2573">
        <f>IF('Instruction &amp; Audit Report B '!$C$22="mm/dd/yyyy",0,IF(MONTH('Instruction &amp; Audit Report B '!$C$22)=12,0,IF(MONTH('Instruction &amp; Audit Report B '!$C$22)=6,0,IF(MONTH('Instruction &amp; Audit Report B '!$C$22)=3,0,IF(MONTH('Instruction &amp; Audit Report B '!$C$22)=9,$H$7*0.25,"ERROR")))))</f>
        <v>0</v>
      </c>
      <c r="I16" s="2574"/>
      <c r="J16" s="2575">
        <f>IF('Instruction &amp; Audit Report B '!$C$22="mm/dd/yyyy",0,IF(MONTH('Instruction &amp; Audit Report B '!$C$22)=12,$H$7/4,IF(MONTH('Instruction &amp; Audit Report B '!$C$22)=6,0,IF(MONTH('Instruction &amp; Audit Report B '!$C$22)=3,0,IF(MONTH('Instruction &amp; Audit Report B '!$C$22)=9,$H$7*0.25,"ERROR")))))</f>
        <v>0</v>
      </c>
      <c r="K16" s="2574"/>
      <c r="L16" s="2575">
        <f>IF('Instruction &amp; Audit Report B '!$C$22="mm/dd/yyyy",0,IF(MONTH('Instruction &amp; Audit Report B '!$C$22)=12,$H$7/4,IF(MONTH('Instruction &amp; Audit Report B '!$C$22)=6,0,IF(MONTH('Instruction &amp; Audit Report B '!$C$22)=3,$H$7*0.25,IF(MONTH('Instruction &amp; Audit Report B '!$C$22)=9,$H$7*0.25,"ERROR")))))</f>
        <v>0</v>
      </c>
      <c r="M16" s="2574"/>
      <c r="N16" s="2575">
        <f>IF('Instruction &amp; Audit Report B '!$C$22="mm/dd/yyyy",0,IF(MONTH('Instruction &amp; Audit Report B '!$C$22)=12,$H$7/4,IF(MONTH('Instruction &amp; Audit Report B '!$C$22)=6,$H$7*0.25,IF(MONTH('Instruction &amp; Audit Report B '!$C$22)=3,$H$7*0.25,IF(MONTH('Instruction &amp; Audit Report B '!$C$22)=9,$H$7*0.25,"ERROR")))))</f>
        <v>0</v>
      </c>
      <c r="O16" s="2574"/>
      <c r="P16" s="2553">
        <f>SUM(H16:O16)</f>
        <v>0</v>
      </c>
      <c r="Q16" s="2554"/>
      <c r="R16" s="21" t="s">
        <v>1118</v>
      </c>
      <c r="S16" s="28"/>
    </row>
    <row r="17" spans="2:19" ht="15" thickBot="1" x14ac:dyDescent="0.4">
      <c r="B17" s="27"/>
      <c r="C17" s="21" t="s">
        <v>1119</v>
      </c>
      <c r="H17" s="2564">
        <v>0</v>
      </c>
      <c r="I17" s="2565"/>
      <c r="J17" s="2566">
        <v>0</v>
      </c>
      <c r="K17" s="2565"/>
      <c r="L17" s="2566">
        <v>0</v>
      </c>
      <c r="M17" s="2565"/>
      <c r="N17" s="2566">
        <v>0</v>
      </c>
      <c r="O17" s="2565"/>
      <c r="P17" s="2576">
        <f>SUM(H17:O17)</f>
        <v>0</v>
      </c>
      <c r="Q17" s="2577"/>
      <c r="R17" s="31" t="s">
        <v>1115</v>
      </c>
      <c r="S17" s="28"/>
    </row>
    <row r="18" spans="2:19" x14ac:dyDescent="0.35">
      <c r="B18" s="27"/>
      <c r="O18" s="33" t="s">
        <v>1120</v>
      </c>
      <c r="P18" s="2567">
        <f>SUM(P13:Q17)</f>
        <v>0</v>
      </c>
      <c r="Q18" s="2568"/>
      <c r="S18" s="28"/>
    </row>
    <row r="19" spans="2:19" ht="15" thickBot="1" x14ac:dyDescent="0.4">
      <c r="B19" s="27"/>
      <c r="O19" s="34" t="s">
        <v>1121</v>
      </c>
      <c r="P19" s="2569">
        <f>P18*0.06</f>
        <v>0</v>
      </c>
      <c r="Q19" s="2570"/>
      <c r="S19" s="28"/>
    </row>
    <row r="20" spans="2:19" ht="15" thickTop="1" x14ac:dyDescent="0.35">
      <c r="B20" s="35"/>
      <c r="O20" s="33" t="s">
        <v>1122</v>
      </c>
      <c r="P20" s="2571">
        <v>0</v>
      </c>
      <c r="Q20" s="2572"/>
      <c r="R20" s="31" t="s">
        <v>1115</v>
      </c>
      <c r="S20" s="28"/>
    </row>
    <row r="21" spans="2:19" ht="15" thickBot="1" x14ac:dyDescent="0.4">
      <c r="B21" s="35"/>
      <c r="O21" s="34" t="s">
        <v>1123</v>
      </c>
      <c r="P21" s="2560">
        <f>P19-P20</f>
        <v>0</v>
      </c>
      <c r="Q21" s="2561"/>
      <c r="S21" s="28"/>
    </row>
    <row r="22" spans="2:19" ht="15" thickBot="1" x14ac:dyDescent="0.4">
      <c r="B22" s="36"/>
      <c r="C22" s="37"/>
      <c r="D22" s="37"/>
      <c r="E22" s="37"/>
      <c r="F22" s="37"/>
      <c r="G22" s="37"/>
      <c r="H22" s="37"/>
      <c r="I22" s="37"/>
      <c r="J22" s="37"/>
      <c r="K22" s="37"/>
      <c r="L22" s="37"/>
      <c r="M22" s="37"/>
      <c r="N22" s="37"/>
      <c r="O22" s="37"/>
      <c r="P22" s="37"/>
      <c r="Q22" s="37"/>
      <c r="R22" s="37"/>
      <c r="S22" s="38"/>
    </row>
  </sheetData>
  <mergeCells count="41">
    <mergeCell ref="P21:Q21"/>
    <mergeCell ref="H7:I7"/>
    <mergeCell ref="H17:I17"/>
    <mergeCell ref="J17:K17"/>
    <mergeCell ref="L17:M17"/>
    <mergeCell ref="N17:O17"/>
    <mergeCell ref="P18:Q18"/>
    <mergeCell ref="P19:Q19"/>
    <mergeCell ref="P20:Q20"/>
    <mergeCell ref="H16:I16"/>
    <mergeCell ref="J16:K16"/>
    <mergeCell ref="L16:M16"/>
    <mergeCell ref="N16:O16"/>
    <mergeCell ref="P16:Q16"/>
    <mergeCell ref="P17:Q17"/>
    <mergeCell ref="H13:I13"/>
    <mergeCell ref="J13:K13"/>
    <mergeCell ref="L13:M13"/>
    <mergeCell ref="N13:O13"/>
    <mergeCell ref="P13:Q13"/>
    <mergeCell ref="H15:I15"/>
    <mergeCell ref="J15:K15"/>
    <mergeCell ref="L15:M15"/>
    <mergeCell ref="N15:O15"/>
    <mergeCell ref="P15:Q15"/>
    <mergeCell ref="H14:I14"/>
    <mergeCell ref="J14:K14"/>
    <mergeCell ref="L14:M14"/>
    <mergeCell ref="N14:O14"/>
    <mergeCell ref="P14:Q14"/>
    <mergeCell ref="B5:S5"/>
    <mergeCell ref="H12:I12"/>
    <mergeCell ref="J12:K12"/>
    <mergeCell ref="L12:M12"/>
    <mergeCell ref="N12:O12"/>
    <mergeCell ref="P12:Q12"/>
    <mergeCell ref="H11:I11"/>
    <mergeCell ref="J11:K11"/>
    <mergeCell ref="L11:M11"/>
    <mergeCell ref="N11:O11"/>
    <mergeCell ref="P11:Q11"/>
  </mergeCells>
  <pageMargins left="0.7" right="0.7" top="0.75" bottom="0.75" header="0.3" footer="0.3"/>
  <pageSetup scale="65"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31ba8e9cfd587f7d083fb6ee495acf2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2d991a62cadc8f8e67563aede5be0a72"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CA59D2-9254-4ACB-A10C-97C20C9ABCF8}">
  <ds:schemaRefs>
    <ds:schemaRef ds:uri="http://schemas.microsoft.com/sharepoint/v3/contenttype/forms"/>
  </ds:schemaRefs>
</ds:datastoreItem>
</file>

<file path=customXml/itemProps2.xml><?xml version="1.0" encoding="utf-8"?>
<ds:datastoreItem xmlns:ds="http://schemas.openxmlformats.org/officeDocument/2006/customXml" ds:itemID="{3B7CCACE-087E-4042-BF36-1F27F6408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9627f-a073-49ae-920d-28f8649be131"/>
    <ds:schemaRef ds:uri="898c3d9e-a56e-434b-bb6a-7c6f06128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F462D6-7972-473E-80FA-0E9EE2D3DAC5}">
  <ds:schemaRefs>
    <ds:schemaRef ds:uri="http://purl.org/dc/dcmitype/"/>
    <ds:schemaRef ds:uri="http://purl.org/dc/elements/1.1/"/>
    <ds:schemaRef ds:uri="898c3d9e-a56e-434b-bb6a-7c6f06128eeb"/>
    <ds:schemaRef ds:uri="5539627f-a073-49ae-920d-28f8649be13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vt:i4>
      </vt:variant>
    </vt:vector>
  </HeadingPairs>
  <TitlesOfParts>
    <vt:vector size="37" baseType="lpstr">
      <vt:lpstr>Certification Statement A</vt:lpstr>
      <vt:lpstr>Instruction &amp; Audit Report B </vt:lpstr>
      <vt:lpstr>FS-Balance Sheet 3.04</vt:lpstr>
      <vt:lpstr>FS-Income Statement 3.05</vt:lpstr>
      <vt:lpstr>FS-Footnotes 3.06</vt:lpstr>
      <vt:lpstr>FN 11 Balance Sheet</vt:lpstr>
      <vt:lpstr>FN 11 Income Statement</vt:lpstr>
      <vt:lpstr>Financial  Viability  E</vt:lpstr>
      <vt:lpstr>Receivables_Payable 4.02 &amp; 4.03</vt:lpstr>
      <vt:lpstr>Other Assets 4.04</vt:lpstr>
      <vt:lpstr>Other Liabilities 4.05</vt:lpstr>
      <vt:lpstr>APM 4.06</vt:lpstr>
      <vt:lpstr>Long Term Debt 4.08</vt:lpstr>
      <vt:lpstr>Lag Report 4.07</vt:lpstr>
      <vt:lpstr>Other Account 4.09</vt:lpstr>
      <vt:lpstr>Addtl Details</vt:lpstr>
      <vt:lpstr>Total Profitability 4.10</vt:lpstr>
      <vt:lpstr>Central 4.10-a</vt:lpstr>
      <vt:lpstr>South 4.10-b</vt:lpstr>
      <vt:lpstr>North 4.10-c</vt:lpstr>
      <vt:lpstr>Sub Cap &amp; Block Expense 4.11</vt:lpstr>
      <vt:lpstr>CYTD SubCap &amp;  Block Provider </vt:lpstr>
      <vt:lpstr>Prior CY Adj BS 4.12</vt:lpstr>
      <vt:lpstr>Prior CY Adj IS 4.12</vt:lpstr>
      <vt:lpstr>Parent Financials 4.18</vt:lpstr>
      <vt:lpstr>Appendix F Instructions</vt:lpstr>
      <vt:lpstr>Audit Recon Balance Sheet F-1a</vt:lpstr>
      <vt:lpstr>Audit Rec Income Statement F-1b</vt:lpstr>
      <vt:lpstr>Annual - Entries F-1c</vt:lpstr>
      <vt:lpstr>Annual-Fin Viability F-1d</vt:lpstr>
      <vt:lpstr>MLR H-1  </vt:lpstr>
      <vt:lpstr>MLR Proof H-2</vt:lpstr>
      <vt:lpstr>CRI calculation I</vt:lpstr>
      <vt:lpstr>'FS-Footnotes 3.06'!Print_Area</vt:lpstr>
      <vt:lpstr>'MLR H-1  '!Print_Area</vt:lpstr>
      <vt:lpstr>'FS-Footnotes 3.06'!Print_Titles</vt:lpstr>
      <vt:lpstr>'MLR H-1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Stockton, Weiwen</dc:creator>
  <cp:keywords/>
  <dc:description/>
  <cp:lastModifiedBy>Hoser, Kenneth</cp:lastModifiedBy>
  <cp:revision/>
  <dcterms:created xsi:type="dcterms:W3CDTF">2020-11-04T21:05:39Z</dcterms:created>
  <dcterms:modified xsi:type="dcterms:W3CDTF">2025-03-04T20:39:31Z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11149400</vt:r8>
  </property>
  <property fmtid="{D5CDD505-2E9C-101B-9397-08002B2CF9AE}" pid="4" name="MediaServiceImageTags">
    <vt:lpwstr/>
  </property>
</Properties>
</file>