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1352" windowHeight="7932" activeTab="0"/>
  </bookViews>
  <sheets>
    <sheet name="Recoup" sheetId="1" r:id="rId1"/>
    <sheet name="Reimburse" sheetId="2" r:id="rId2"/>
  </sheets>
  <externalReferences>
    <externalReference r:id="rId5"/>
  </externalReferences>
  <definedNames>
    <definedName name="Bound">'[1]Inputs'!$B$6</definedName>
    <definedName name="ReconPercent">'[1]Inputs'!$B$4</definedName>
    <definedName name="Z_68CA6049_13DE_4549_96FD_F4DA2F499652_.wvu.PrintArea" localSheetId="0" hidden="1">'Recoup'!$A$1:$K$64</definedName>
    <definedName name="Z_68CA6049_13DE_4549_96FD_F4DA2F499652_.wvu.PrintArea" localSheetId="1" hidden="1">'Reimburse'!$A$1:$J$70</definedName>
  </definedNames>
  <calcPr fullCalcOnLoad="1"/>
</workbook>
</file>

<file path=xl/sharedStrings.xml><?xml version="1.0" encoding="utf-8"?>
<sst xmlns="http://schemas.openxmlformats.org/spreadsheetml/2006/main" count="112" uniqueCount="52">
  <si>
    <t>Premium Tax</t>
  </si>
  <si>
    <t>Reinsurance Paid</t>
  </si>
  <si>
    <t>Settlement</t>
  </si>
  <si>
    <t xml:space="preserve">Total Profit/(Loss) </t>
  </si>
  <si>
    <t>Net Amount Due to (from) Health Plan:</t>
  </si>
  <si>
    <t>Net Amount Due to (from) Health Plan</t>
  </si>
  <si>
    <t>Excess Profit</t>
  </si>
  <si>
    <t>Recoup. %</t>
  </si>
  <si>
    <t>Recoupment</t>
  </si>
  <si>
    <t xml:space="preserve">Amount </t>
  </si>
  <si>
    <t>Excess Loss</t>
  </si>
  <si>
    <t>Underpaid</t>
  </si>
  <si>
    <t>Reimburse</t>
  </si>
  <si>
    <t>3% &lt; x &lt;= 6%</t>
  </si>
  <si>
    <t>x &gt; 6%</t>
  </si>
  <si>
    <t>Assumptions:</t>
  </si>
  <si>
    <t>FOR THE CONTRACT YEAR ENDED 9/30/XX</t>
  </si>
  <si>
    <t>As Of: xx/xx/xx</t>
  </si>
  <si>
    <t>Profit/(Loss) % of Net Capitation</t>
  </si>
  <si>
    <t>Recon Amount Due to/From Calculation</t>
  </si>
  <si>
    <t>&lt;=3%</t>
  </si>
  <si>
    <t>3% &lt; x &lt;= 5%</t>
  </si>
  <si>
    <t>5% &lt; x &lt;= 7%</t>
  </si>
  <si>
    <t>7% &lt; x &lt;= 9%</t>
  </si>
  <si>
    <t>x &gt; 9%</t>
  </si>
  <si>
    <t xml:space="preserve">Admin </t>
  </si>
  <si>
    <t>Amount</t>
  </si>
  <si>
    <t>Overpaid</t>
  </si>
  <si>
    <t>Calcs</t>
  </si>
  <si>
    <t>Subcapitated Expenses</t>
  </si>
  <si>
    <t>Capitation</t>
  </si>
  <si>
    <t>Less amounts previously paid with initial/interim reconciliations</t>
  </si>
  <si>
    <t>CRS</t>
  </si>
  <si>
    <t>CRS TIERED RECONCILIATION</t>
  </si>
  <si>
    <t>Total Capitation</t>
  </si>
  <si>
    <t>Net Capitation (Net of Admin and Premium Tax)</t>
  </si>
  <si>
    <t>Expenses</t>
  </si>
  <si>
    <t>4) Admin at 9.64%.</t>
  </si>
  <si>
    <t>1) Total Capitation includes Capitation for dates of service within the reconciliation time frame.</t>
  </si>
  <si>
    <t>1) Total Capitation includes Capitation Payments for dates of service within the reconciliation time frame.</t>
  </si>
  <si>
    <t>Exclusion of Subcap Code 01 Encounters</t>
  </si>
  <si>
    <t>subject to AHCCCS cost settlement.</t>
  </si>
  <si>
    <t xml:space="preserve">   they represent the enhanced portion of a payment for PCP parity.</t>
  </si>
  <si>
    <t xml:space="preserve">5) Subcapitated expenses are self reported from Quarterly Financial statements. These should not contain the enhanced portion of a payment for PCP Parity that is </t>
  </si>
  <si>
    <t xml:space="preserve">6) All encounters with CN 1 code of 05 have been excluded from this reconciliation, since these should either be included in the self reported subcapitated expenses or </t>
  </si>
  <si>
    <t>CRS PROGRAM TIERED RECONCILIATION - EXAMPLE</t>
  </si>
  <si>
    <t>2) Expenditures include fully adjudicated encounters for dates of service within the reconciliation time frame.</t>
  </si>
  <si>
    <t>3) Reinsurance is based on actual reinsurance payments for dates of service within the reconciliation time frame.</t>
  </si>
  <si>
    <t>Health Insurer Fee Capitation Adjustment</t>
  </si>
  <si>
    <t>Net Capitation (Net of Admin, HIF Capitation Adjustment and Premium Tax)</t>
  </si>
  <si>
    <t>POLICY 312 CYE 13, ATTACHMENT A</t>
  </si>
  <si>
    <t xml:space="preserve"> subject to AHCCCS cost settlement.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</si>
</sst>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"/>
    <numFmt numFmtId="165" formatCode="0.00_);[Red]\(0.00\)"/>
    <numFmt numFmtId="166" formatCode="_(&quot;$&quot;* #,##0_);_(&quot;$&quot;* \(#,##0\);_(&quot;$&quot;* &quot;-&quot;??_);_(@_)"/>
    <numFmt numFmtId="167" formatCode="&quot;$&quot;#,##0"/>
    <numFmt numFmtId="168" formatCode="_(&quot;$&quot;* #,##0.0000_);_(&quot;$&quot;* \(#,##0.0000\);_(&quot;$&quot;* &quot;-&quot;????_);_(@_)"/>
    <numFmt numFmtId="169" formatCode="0.0%"/>
    <numFmt numFmtId="170" formatCode="_(&quot;$&quot;* #,##0.0_);_(&quot;$&quot;* \(#,##0.0\);_(&quot;$&quot;* &quot;-&quot;??_);_(@_)"/>
    <numFmt numFmtId="171" formatCode="_(&quot;$&quot;* #,##0.000_);_(&quot;$&quot;* \(#,##0.000\);_(&quot;$&quot;* &quot;-&quot;??_);_(@_)"/>
    <numFmt numFmtId="172" formatCode="_(&quot;$&quot;* #,##0.000_);_(&quot;$&quot;* \(#,##0.000\);_(&quot;$&quot;* &quot;-&quot;???_);_(@_)"/>
    <numFmt numFmtId="173" formatCode="_(&quot;$&quot;* #,##0.0000_);_(&quot;$&quot;* \(#,##0.0000\);_(&quot;$&quot;* &quot;-&quot;??_);_(@_)"/>
    <numFmt numFmtId="174" formatCode="_(&quot;$&quot;* #,##0.00000_);_(&quot;$&quot;* \(#,##0.00000\);_(&quot;$&quot;* &quot;-&quot;??_);_(@_)"/>
    <numFmt numFmtId="175" formatCode="_(&quot;$&quot;* #,##0.000000_);_(&quot;$&quot;* \(#,##0.000000\);_(&quot;$&quot;* &quot;-&quot;??_);_(@_)"/>
    <numFmt numFmtId="176" formatCode="_(&quot;$&quot;* #,##0.0000000_);_(&quot;$&quot;* \(#,##0.0000000\);_(&quot;$&quot;* &quot;-&quot;??_);_(@_)"/>
    <numFmt numFmtId="177" formatCode="0.000"/>
    <numFmt numFmtId="178" formatCode="0.0000"/>
    <numFmt numFmtId="179" formatCode="0.00000"/>
    <numFmt numFmtId="180" formatCode="0.000000"/>
    <numFmt numFmtId="181" formatCode="0.0000000"/>
    <numFmt numFmtId="182" formatCode="_(* #,##0.0_);_(* \(#,##0.0\);_(* &quot;-&quot;??_);_(@_)"/>
    <numFmt numFmtId="183" formatCode="_(* #,##0_);_(* \(#,##0\);_(* &quot;-&quot;??_);_(@_)"/>
  </numFmts>
  <fonts count="4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color indexed="48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4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23">
    <xf numFmtId="0" fontId="0" fillId="0" borderId="0" xfId="0" applyAlignment="1">
      <alignment/>
    </xf>
    <xf numFmtId="0" fontId="2" fillId="0" borderId="0" xfId="0" applyFont="1" applyAlignment="1">
      <alignment horizontal="centerContinuous"/>
    </xf>
    <xf numFmtId="0" fontId="3" fillId="0" borderId="0" xfId="0" applyFont="1" applyAlignment="1" quotePrefix="1">
      <alignment horizontal="centerContinuous"/>
    </xf>
    <xf numFmtId="0" fontId="1" fillId="0" borderId="0" xfId="0" applyFont="1" applyAlignment="1">
      <alignment/>
    </xf>
    <xf numFmtId="0" fontId="3" fillId="0" borderId="0" xfId="0" applyFont="1" applyAlignment="1">
      <alignment horizontal="centerContinuous"/>
    </xf>
    <xf numFmtId="0" fontId="3" fillId="0" borderId="10" xfId="0" applyFont="1" applyBorder="1" applyAlignment="1">
      <alignment horizontal="left"/>
    </xf>
    <xf numFmtId="165" fontId="3" fillId="0" borderId="11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165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 quotePrefix="1">
      <alignment horizontal="center"/>
    </xf>
    <xf numFmtId="165" fontId="3" fillId="0" borderId="0" xfId="0" applyNumberFormat="1" applyFont="1" applyBorder="1" applyAlignment="1" quotePrefix="1">
      <alignment horizontal="center"/>
    </xf>
    <xf numFmtId="0" fontId="3" fillId="0" borderId="0" xfId="0" applyFont="1" applyAlignment="1">
      <alignment/>
    </xf>
    <xf numFmtId="44" fontId="1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44" fontId="1" fillId="0" borderId="11" xfId="0" applyNumberFormat="1" applyFont="1" applyBorder="1" applyAlignment="1">
      <alignment/>
    </xf>
    <xf numFmtId="10" fontId="1" fillId="0" borderId="0" xfId="61" applyNumberFormat="1" applyFont="1" applyAlignment="1">
      <alignment/>
    </xf>
    <xf numFmtId="44" fontId="1" fillId="0" borderId="0" xfId="0" applyNumberFormat="1" applyFont="1" applyBorder="1" applyAlignment="1">
      <alignment/>
    </xf>
    <xf numFmtId="0" fontId="3" fillId="0" borderId="12" xfId="0" applyFont="1" applyBorder="1" applyAlignment="1">
      <alignment horizontal="left"/>
    </xf>
    <xf numFmtId="44" fontId="1" fillId="0" borderId="0" xfId="45" applyFont="1" applyBorder="1" applyAlignment="1">
      <alignment/>
    </xf>
    <xf numFmtId="10" fontId="1" fillId="0" borderId="0" xfId="61" applyNumberFormat="1" applyFont="1" applyBorder="1" applyAlignment="1">
      <alignment/>
    </xf>
    <xf numFmtId="0" fontId="1" fillId="0" borderId="0" xfId="0" applyFont="1" applyBorder="1" applyAlignment="1" quotePrefix="1">
      <alignment horizontal="left"/>
    </xf>
    <xf numFmtId="44" fontId="1" fillId="0" borderId="0" xfId="0" applyNumberFormat="1" applyFont="1" applyFill="1" applyBorder="1" applyAlignment="1">
      <alignment/>
    </xf>
    <xf numFmtId="44" fontId="4" fillId="0" borderId="0" xfId="45" applyFont="1" applyAlignment="1">
      <alignment/>
    </xf>
    <xf numFmtId="44" fontId="1" fillId="0" borderId="13" xfId="0" applyNumberFormat="1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9" fontId="1" fillId="0" borderId="0" xfId="0" applyNumberFormat="1" applyFont="1" applyAlignment="1">
      <alignment/>
    </xf>
    <xf numFmtId="9" fontId="5" fillId="0" borderId="0" xfId="61" applyFont="1" applyBorder="1" applyAlignment="1">
      <alignment/>
    </xf>
    <xf numFmtId="166" fontId="1" fillId="0" borderId="0" xfId="45" applyNumberFormat="1" applyFont="1" applyAlignment="1">
      <alignment/>
    </xf>
    <xf numFmtId="166" fontId="1" fillId="0" borderId="0" xfId="0" applyNumberFormat="1" applyFont="1" applyAlignment="1">
      <alignment/>
    </xf>
    <xf numFmtId="167" fontId="5" fillId="0" borderId="0" xfId="45" applyNumberFormat="1" applyFont="1" applyBorder="1" applyAlignment="1">
      <alignment horizontal="center"/>
    </xf>
    <xf numFmtId="0" fontId="3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18" xfId="0" applyBorder="1" applyAlignment="1">
      <alignment/>
    </xf>
    <xf numFmtId="0" fontId="1" fillId="0" borderId="0" xfId="0" applyFont="1" applyFill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3" fillId="0" borderId="0" xfId="0" applyFont="1" applyFill="1" applyAlignment="1">
      <alignment horizontal="centerContinuous"/>
    </xf>
    <xf numFmtId="171" fontId="1" fillId="0" borderId="0" xfId="45" applyNumberFormat="1" applyFont="1" applyAlignment="1">
      <alignment/>
    </xf>
    <xf numFmtId="44" fontId="0" fillId="0" borderId="0" xfId="0" applyNumberFormat="1" applyAlignment="1">
      <alignment/>
    </xf>
    <xf numFmtId="0" fontId="2" fillId="0" borderId="0" xfId="0" applyFont="1" applyFill="1" applyAlignment="1">
      <alignment horizontal="centerContinuous"/>
    </xf>
    <xf numFmtId="0" fontId="3" fillId="0" borderId="0" xfId="0" applyFont="1" applyFill="1" applyAlignment="1">
      <alignment/>
    </xf>
    <xf numFmtId="0" fontId="3" fillId="0" borderId="11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176" fontId="0" fillId="0" borderId="0" xfId="0" applyNumberFormat="1" applyAlignment="1">
      <alignment/>
    </xf>
    <xf numFmtId="43" fontId="1" fillId="0" borderId="0" xfId="42" applyFont="1" applyAlignment="1">
      <alignment/>
    </xf>
    <xf numFmtId="43" fontId="1" fillId="0" borderId="0" xfId="0" applyNumberFormat="1" applyFont="1" applyAlignment="1">
      <alignment/>
    </xf>
    <xf numFmtId="43" fontId="1" fillId="0" borderId="0" xfId="61" applyNumberFormat="1" applyFont="1" applyAlignment="1">
      <alignment/>
    </xf>
    <xf numFmtId="0" fontId="1" fillId="0" borderId="0" xfId="0" applyFont="1" applyAlignment="1">
      <alignment horizontal="center"/>
    </xf>
    <xf numFmtId="183" fontId="0" fillId="0" borderId="0" xfId="42" applyNumberFormat="1" applyFont="1" applyAlignment="1">
      <alignment/>
    </xf>
    <xf numFmtId="164" fontId="3" fillId="0" borderId="0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 quotePrefix="1">
      <alignment/>
    </xf>
    <xf numFmtId="0" fontId="3" fillId="0" borderId="0" xfId="0" applyFont="1" applyFill="1" applyAlignment="1" quotePrefix="1">
      <alignment/>
    </xf>
    <xf numFmtId="0" fontId="0" fillId="0" borderId="17" xfId="0" applyFont="1" applyFill="1" applyBorder="1" applyAlignment="1">
      <alignment/>
    </xf>
    <xf numFmtId="0" fontId="1" fillId="0" borderId="0" xfId="0" applyFont="1" applyAlignment="1">
      <alignment/>
    </xf>
    <xf numFmtId="0" fontId="1" fillId="0" borderId="18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17" xfId="0" applyFont="1" applyBorder="1" applyAlignment="1">
      <alignment horizontal="left" indent="1"/>
    </xf>
    <xf numFmtId="0" fontId="0" fillId="0" borderId="17" xfId="0" applyFont="1" applyBorder="1" applyAlignment="1">
      <alignment horizontal="left" vertical="top"/>
    </xf>
    <xf numFmtId="0" fontId="25" fillId="0" borderId="0" xfId="0" applyFont="1" applyAlignment="1">
      <alignment horizontal="centerContinuous"/>
    </xf>
    <xf numFmtId="0" fontId="25" fillId="0" borderId="0" xfId="0" applyFont="1" applyAlignment="1" quotePrefix="1">
      <alignment horizontal="centerContinuous"/>
    </xf>
    <xf numFmtId="0" fontId="25" fillId="0" borderId="0" xfId="0" applyFont="1" applyAlignment="1" quotePrefix="1">
      <alignment/>
    </xf>
    <xf numFmtId="0" fontId="26" fillId="0" borderId="0" xfId="0" applyFont="1" applyAlignment="1">
      <alignment/>
    </xf>
    <xf numFmtId="0" fontId="26" fillId="0" borderId="0" xfId="0" applyFont="1" applyAlignment="1">
      <alignment/>
    </xf>
    <xf numFmtId="0" fontId="25" fillId="0" borderId="0" xfId="0" applyFont="1" applyFill="1" applyAlignment="1">
      <alignment horizontal="centerContinuous"/>
    </xf>
    <xf numFmtId="0" fontId="25" fillId="0" borderId="0" xfId="0" applyFont="1" applyFill="1" applyAlignment="1" quotePrefix="1">
      <alignment/>
    </xf>
    <xf numFmtId="0" fontId="25" fillId="0" borderId="0" xfId="0" applyFont="1" applyFill="1" applyAlignment="1">
      <alignment/>
    </xf>
    <xf numFmtId="164" fontId="25" fillId="0" borderId="0" xfId="0" applyNumberFormat="1" applyFont="1" applyBorder="1" applyAlignment="1">
      <alignment horizontal="center"/>
    </xf>
    <xf numFmtId="0" fontId="25" fillId="0" borderId="10" xfId="0" applyFont="1" applyBorder="1" applyAlignment="1">
      <alignment horizontal="left"/>
    </xf>
    <xf numFmtId="165" fontId="25" fillId="0" borderId="0" xfId="0" applyNumberFormat="1" applyFont="1" applyBorder="1" applyAlignment="1">
      <alignment horizontal="center"/>
    </xf>
    <xf numFmtId="0" fontId="25" fillId="0" borderId="0" xfId="0" applyFont="1" applyBorder="1" applyAlignment="1" quotePrefix="1">
      <alignment horizontal="center"/>
    </xf>
    <xf numFmtId="165" fontId="25" fillId="0" borderId="0" xfId="0" applyNumberFormat="1" applyFont="1" applyBorder="1" applyAlignment="1" quotePrefix="1">
      <alignment horizontal="center"/>
    </xf>
    <xf numFmtId="0" fontId="25" fillId="0" borderId="0" xfId="0" applyFont="1" applyBorder="1" applyAlignment="1">
      <alignment/>
    </xf>
    <xf numFmtId="0" fontId="25" fillId="0" borderId="0" xfId="0" applyFont="1" applyAlignment="1">
      <alignment/>
    </xf>
    <xf numFmtId="44" fontId="26" fillId="0" borderId="0" xfId="0" applyNumberFormat="1" applyFont="1" applyAlignment="1">
      <alignment/>
    </xf>
    <xf numFmtId="44" fontId="26" fillId="0" borderId="0" xfId="0" applyNumberFormat="1" applyFont="1" applyBorder="1" applyAlignment="1">
      <alignment/>
    </xf>
    <xf numFmtId="0" fontId="25" fillId="0" borderId="0" xfId="0" applyFont="1" applyAlignment="1">
      <alignment horizontal="left"/>
    </xf>
    <xf numFmtId="0" fontId="25" fillId="0" borderId="0" xfId="0" applyFont="1" applyFill="1" applyAlignment="1">
      <alignment/>
    </xf>
    <xf numFmtId="173" fontId="26" fillId="0" borderId="0" xfId="0" applyNumberFormat="1" applyFont="1" applyBorder="1" applyAlignment="1">
      <alignment/>
    </xf>
    <xf numFmtId="10" fontId="26" fillId="0" borderId="0" xfId="61" applyNumberFormat="1" applyFont="1" applyAlignment="1">
      <alignment/>
    </xf>
    <xf numFmtId="10" fontId="26" fillId="0" borderId="0" xfId="61" applyNumberFormat="1" applyFont="1" applyBorder="1" applyAlignment="1">
      <alignment/>
    </xf>
    <xf numFmtId="43" fontId="26" fillId="0" borderId="0" xfId="42" applyFont="1" applyAlignment="1">
      <alignment/>
    </xf>
    <xf numFmtId="43" fontId="26" fillId="0" borderId="0" xfId="61" applyNumberFormat="1" applyFont="1" applyAlignment="1">
      <alignment/>
    </xf>
    <xf numFmtId="43" fontId="26" fillId="0" borderId="0" xfId="0" applyNumberFormat="1" applyFont="1" applyAlignment="1">
      <alignment/>
    </xf>
    <xf numFmtId="0" fontId="25" fillId="0" borderId="12" xfId="0" applyFont="1" applyBorder="1" applyAlignment="1">
      <alignment horizontal="left"/>
    </xf>
    <xf numFmtId="44" fontId="26" fillId="0" borderId="0" xfId="45" applyFont="1" applyBorder="1" applyAlignment="1">
      <alignment/>
    </xf>
    <xf numFmtId="0" fontId="26" fillId="0" borderId="0" xfId="0" applyFont="1" applyBorder="1" applyAlignment="1" quotePrefix="1">
      <alignment horizontal="left"/>
    </xf>
    <xf numFmtId="183" fontId="26" fillId="0" borderId="0" xfId="42" applyNumberFormat="1" applyFont="1" applyAlignment="1">
      <alignment/>
    </xf>
    <xf numFmtId="171" fontId="26" fillId="0" borderId="0" xfId="45" applyNumberFormat="1" applyFont="1" applyAlignment="1">
      <alignment/>
    </xf>
    <xf numFmtId="44" fontId="26" fillId="0" borderId="0" xfId="0" applyNumberFormat="1" applyFont="1" applyFill="1" applyBorder="1" applyAlignment="1">
      <alignment/>
    </xf>
    <xf numFmtId="176" fontId="26" fillId="0" borderId="0" xfId="0" applyNumberFormat="1" applyFont="1" applyAlignment="1">
      <alignment/>
    </xf>
    <xf numFmtId="44" fontId="27" fillId="0" borderId="0" xfId="45" applyFont="1" applyAlignment="1">
      <alignment/>
    </xf>
    <xf numFmtId="44" fontId="26" fillId="0" borderId="13" xfId="0" applyNumberFormat="1" applyFont="1" applyBorder="1" applyAlignment="1">
      <alignment/>
    </xf>
    <xf numFmtId="0" fontId="26" fillId="0" borderId="0" xfId="0" applyFont="1" applyAlignment="1">
      <alignment horizontal="center"/>
    </xf>
    <xf numFmtId="0" fontId="26" fillId="0" borderId="0" xfId="0" applyFont="1" applyBorder="1" applyAlignment="1">
      <alignment/>
    </xf>
    <xf numFmtId="0" fontId="26" fillId="0" borderId="0" xfId="0" applyFont="1" applyBorder="1" applyAlignment="1">
      <alignment horizontal="center"/>
    </xf>
    <xf numFmtId="9" fontId="26" fillId="0" borderId="0" xfId="0" applyNumberFormat="1" applyFont="1" applyAlignment="1">
      <alignment/>
    </xf>
    <xf numFmtId="9" fontId="26" fillId="0" borderId="0" xfId="61" applyFont="1" applyBorder="1" applyAlignment="1">
      <alignment/>
    </xf>
    <xf numFmtId="166" fontId="26" fillId="0" borderId="0" xfId="45" applyNumberFormat="1" applyFont="1" applyAlignment="1">
      <alignment/>
    </xf>
    <xf numFmtId="166" fontId="26" fillId="0" borderId="0" xfId="0" applyNumberFormat="1" applyFont="1" applyAlignment="1">
      <alignment/>
    </xf>
    <xf numFmtId="167" fontId="26" fillId="0" borderId="0" xfId="45" applyNumberFormat="1" applyFont="1" applyBorder="1" applyAlignment="1">
      <alignment horizontal="center"/>
    </xf>
    <xf numFmtId="0" fontId="25" fillId="0" borderId="14" xfId="0" applyFont="1" applyBorder="1" applyAlignment="1">
      <alignment/>
    </xf>
    <xf numFmtId="0" fontId="26" fillId="0" borderId="15" xfId="0" applyFont="1" applyBorder="1" applyAlignment="1">
      <alignment/>
    </xf>
    <xf numFmtId="0" fontId="26" fillId="0" borderId="16" xfId="0" applyFont="1" applyBorder="1" applyAlignment="1">
      <alignment/>
    </xf>
    <xf numFmtId="0" fontId="26" fillId="0" borderId="17" xfId="0" applyFont="1" applyBorder="1" applyAlignment="1">
      <alignment/>
    </xf>
    <xf numFmtId="0" fontId="26" fillId="0" borderId="18" xfId="0" applyFont="1" applyBorder="1" applyAlignment="1">
      <alignment/>
    </xf>
    <xf numFmtId="0" fontId="26" fillId="0" borderId="17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6" fillId="0" borderId="17" xfId="0" applyFont="1" applyBorder="1" applyAlignment="1">
      <alignment horizontal="left" indent="1"/>
    </xf>
    <xf numFmtId="0" fontId="26" fillId="0" borderId="17" xfId="0" applyFont="1" applyBorder="1" applyAlignment="1">
      <alignment horizontal="left" vertical="top"/>
    </xf>
    <xf numFmtId="0" fontId="26" fillId="0" borderId="21" xfId="0" applyFont="1" applyBorder="1" applyAlignment="1">
      <alignment/>
    </xf>
    <xf numFmtId="0" fontId="26" fillId="0" borderId="19" xfId="0" applyFont="1" applyBorder="1" applyAlignment="1">
      <alignment/>
    </xf>
    <xf numFmtId="0" fontId="26" fillId="0" borderId="20" xfId="0" applyFont="1" applyBorder="1" applyAlignment="1">
      <alignment/>
    </xf>
    <xf numFmtId="165" fontId="25" fillId="0" borderId="22" xfId="0" applyNumberFormat="1" applyFont="1" applyBorder="1" applyAlignment="1">
      <alignment horizontal="center"/>
    </xf>
    <xf numFmtId="0" fontId="25" fillId="0" borderId="10" xfId="0" applyFont="1" applyFill="1" applyBorder="1" applyAlignment="1">
      <alignment horizontal="left"/>
    </xf>
    <xf numFmtId="44" fontId="26" fillId="0" borderId="22" xfId="0" applyNumberFormat="1" applyFont="1" applyBorder="1" applyAlignment="1">
      <alignment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Percent 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ctuarial\Acute\CY12%20Cap%20Development\Cognos\Recons\2010\ProsRecon2010%20w%20Upd%20RI%20and%20Admin%20@%20bid%20Dynamic%20TX%20Model%20Rev%2007-14-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tes"/>
      <sheetName val="Inputs"/>
      <sheetName val="Condensed Summary"/>
      <sheetName val="Admin %"/>
      <sheetName val="Overall Summary"/>
      <sheetName val="APIPASummary"/>
      <sheetName val="APIPADetail"/>
      <sheetName val="Care1stSummary"/>
      <sheetName val="Care1stDetail"/>
      <sheetName val="BridgewaySummary"/>
      <sheetName val="BridgewayDetail"/>
      <sheetName val="HCASummary"/>
      <sheetName val="HCADetail"/>
      <sheetName val="MaricopaSummary"/>
      <sheetName val="MaricopaDetail"/>
      <sheetName val="MercySummary"/>
      <sheetName val="MercyDetail"/>
      <sheetName val="PHPSummary"/>
      <sheetName val="PHPDetail"/>
      <sheetName val="PimaSummary"/>
      <sheetName val="PimaDetail"/>
      <sheetName val="UFCSummary"/>
      <sheetName val="UFCDetail"/>
    </sheetNames>
    <sheetDataSet>
      <sheetData sheetId="1">
        <row r="4">
          <cell r="B4">
            <v>0.02</v>
          </cell>
        </row>
        <row r="6">
          <cell r="B6" t="str">
            <v>yes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4"/>
  <sheetViews>
    <sheetView tabSelected="1" view="pageLayout" workbookViewId="0" topLeftCell="A46">
      <selection activeCell="A69" sqref="A69"/>
    </sheetView>
  </sheetViews>
  <sheetFormatPr defaultColWidth="9.140625" defaultRowHeight="12.75"/>
  <cols>
    <col min="1" max="1" width="51.28125" style="70" customWidth="1"/>
    <col min="2" max="2" width="17.28125" style="70" customWidth="1"/>
    <col min="3" max="3" width="18.140625" style="70" bestFit="1" customWidth="1"/>
    <col min="4" max="4" width="15.57421875" style="70" bestFit="1" customWidth="1"/>
    <col min="5" max="7" width="13.00390625" style="70" customWidth="1"/>
    <col min="8" max="8" width="13.7109375" style="70" customWidth="1"/>
    <col min="9" max="9" width="13.8515625" style="70" bestFit="1" customWidth="1"/>
    <col min="10" max="10" width="14.28125" style="70" bestFit="1" customWidth="1"/>
    <col min="11" max="11" width="13.8515625" style="70" bestFit="1" customWidth="1"/>
    <col min="12" max="12" width="9.140625" style="70" customWidth="1"/>
    <col min="13" max="13" width="12.8515625" style="70" bestFit="1" customWidth="1"/>
    <col min="14" max="16384" width="9.140625" style="70" customWidth="1"/>
  </cols>
  <sheetData>
    <row r="1" spans="1:14" ht="15">
      <c r="A1" s="66" t="s">
        <v>50</v>
      </c>
      <c r="B1" s="67"/>
      <c r="C1" s="68"/>
      <c r="D1" s="68"/>
      <c r="E1" s="68"/>
      <c r="F1" s="68"/>
      <c r="G1" s="68"/>
      <c r="H1" s="68"/>
      <c r="I1" s="68"/>
      <c r="J1" s="68"/>
      <c r="K1" s="68"/>
      <c r="L1" s="69"/>
      <c r="M1" s="69"/>
      <c r="N1" s="69"/>
    </row>
    <row r="2" spans="1:14" ht="15">
      <c r="A2" s="71" t="s">
        <v>45</v>
      </c>
      <c r="B2" s="71"/>
      <c r="C2" s="72"/>
      <c r="D2" s="73"/>
      <c r="E2" s="73"/>
      <c r="F2" s="73"/>
      <c r="G2" s="73"/>
      <c r="H2" s="73"/>
      <c r="I2" s="73"/>
      <c r="J2" s="73"/>
      <c r="K2" s="73"/>
      <c r="L2" s="69"/>
      <c r="M2" s="69"/>
      <c r="N2" s="69"/>
    </row>
    <row r="3" spans="1:14" ht="15">
      <c r="A3" s="66" t="s">
        <v>16</v>
      </c>
      <c r="B3" s="67"/>
      <c r="C3" s="68"/>
      <c r="D3" s="68"/>
      <c r="E3" s="68"/>
      <c r="F3" s="68"/>
      <c r="G3" s="68"/>
      <c r="H3" s="68"/>
      <c r="I3" s="68"/>
      <c r="J3" s="68"/>
      <c r="K3" s="68"/>
      <c r="L3" s="69"/>
      <c r="M3" s="69"/>
      <c r="N3" s="69"/>
    </row>
    <row r="4" spans="1:14" ht="15">
      <c r="A4" s="71" t="s">
        <v>17</v>
      </c>
      <c r="B4" s="71"/>
      <c r="C4" s="72"/>
      <c r="D4" s="73"/>
      <c r="E4" s="73"/>
      <c r="F4" s="73"/>
      <c r="G4" s="73"/>
      <c r="H4" s="73"/>
      <c r="I4" s="73"/>
      <c r="J4" s="73"/>
      <c r="K4" s="73"/>
      <c r="L4" s="69"/>
      <c r="M4" s="69"/>
      <c r="N4" s="69"/>
    </row>
    <row r="5" spans="1:11" ht="12.75" customHeight="1">
      <c r="A5" s="74"/>
      <c r="B5" s="74"/>
      <c r="C5" s="74"/>
      <c r="D5" s="74"/>
      <c r="E5" s="74"/>
      <c r="F5" s="74"/>
      <c r="G5" s="74"/>
      <c r="H5" s="74"/>
      <c r="I5" s="74"/>
      <c r="J5" s="74"/>
      <c r="K5" s="74"/>
    </row>
    <row r="7" ht="15.75" thickBot="1"/>
    <row r="8" spans="1:11" ht="15.75" thickBot="1">
      <c r="A8" s="75"/>
      <c r="B8" s="120" t="s">
        <v>32</v>
      </c>
      <c r="C8" s="76"/>
      <c r="D8" s="77"/>
      <c r="E8" s="77"/>
      <c r="F8" s="76"/>
      <c r="G8" s="76"/>
      <c r="H8" s="78"/>
      <c r="I8" s="76"/>
      <c r="J8" s="76"/>
      <c r="K8" s="76"/>
    </row>
    <row r="9" spans="1:11" ht="15">
      <c r="A9" s="79"/>
      <c r="B9" s="76"/>
      <c r="C9" s="76"/>
      <c r="D9" s="77"/>
      <c r="E9" s="77"/>
      <c r="F9" s="76"/>
      <c r="G9" s="76"/>
      <c r="H9" s="78"/>
      <c r="I9" s="76"/>
      <c r="J9" s="76"/>
      <c r="K9" s="76"/>
    </row>
    <row r="10" spans="1:11" ht="15">
      <c r="A10" s="80" t="s">
        <v>30</v>
      </c>
      <c r="B10" s="81">
        <v>58400000</v>
      </c>
      <c r="C10" s="82"/>
      <c r="D10" s="82"/>
      <c r="E10" s="82"/>
      <c r="F10" s="82"/>
      <c r="G10" s="82"/>
      <c r="H10" s="82"/>
      <c r="I10" s="82"/>
      <c r="J10" s="82"/>
      <c r="K10" s="82"/>
    </row>
    <row r="11" spans="1:11" ht="15">
      <c r="A11" s="83" t="s">
        <v>34</v>
      </c>
      <c r="B11" s="81">
        <f>+SUM(B10:B10)</f>
        <v>58400000</v>
      </c>
      <c r="C11" s="82"/>
      <c r="D11" s="82"/>
      <c r="E11" s="82"/>
      <c r="F11" s="82"/>
      <c r="G11" s="82"/>
      <c r="H11" s="82"/>
      <c r="I11" s="82"/>
      <c r="J11" s="82"/>
      <c r="K11" s="82"/>
    </row>
    <row r="12" spans="1:11" ht="15">
      <c r="A12" s="84" t="s">
        <v>25</v>
      </c>
      <c r="B12" s="81">
        <f>(B11-B14-B13)-((B11-B14-B13)/1.0964)</f>
        <v>4967888.361911714</v>
      </c>
      <c r="C12" s="85"/>
      <c r="D12" s="82"/>
      <c r="E12" s="82"/>
      <c r="F12" s="82"/>
      <c r="G12" s="82"/>
      <c r="H12" s="82"/>
      <c r="I12" s="82"/>
      <c r="J12" s="82"/>
      <c r="K12" s="82"/>
    </row>
    <row r="13" spans="1:11" ht="15">
      <c r="A13" s="84" t="s">
        <v>48</v>
      </c>
      <c r="B13" s="81">
        <v>730000</v>
      </c>
      <c r="C13" s="82"/>
      <c r="D13" s="82"/>
      <c r="E13" s="82"/>
      <c r="F13" s="82"/>
      <c r="G13" s="82"/>
      <c r="H13" s="82"/>
      <c r="I13" s="82"/>
      <c r="J13" s="82"/>
      <c r="K13" s="82"/>
    </row>
    <row r="14" spans="1:13" ht="15">
      <c r="A14" s="80" t="s">
        <v>0</v>
      </c>
      <c r="B14" s="81">
        <f>B11*0.02</f>
        <v>1168000</v>
      </c>
      <c r="C14" s="82"/>
      <c r="D14" s="82"/>
      <c r="E14" s="82"/>
      <c r="F14" s="82"/>
      <c r="G14" s="82"/>
      <c r="H14" s="82"/>
      <c r="I14" s="82"/>
      <c r="J14" s="82"/>
      <c r="K14" s="82"/>
      <c r="M14" s="81"/>
    </row>
    <row r="15" spans="1:11" ht="15">
      <c r="A15" s="84" t="s">
        <v>35</v>
      </c>
      <c r="B15" s="81">
        <f>B11-SUM(B12:B14)</f>
        <v>51534111.638088286</v>
      </c>
      <c r="C15" s="85"/>
      <c r="D15" s="82"/>
      <c r="E15" s="82"/>
      <c r="F15" s="82"/>
      <c r="G15" s="82"/>
      <c r="H15" s="82"/>
      <c r="I15" s="82"/>
      <c r="J15" s="82"/>
      <c r="K15" s="82"/>
    </row>
    <row r="16" spans="1:13" ht="15">
      <c r="A16" s="80" t="s">
        <v>36</v>
      </c>
      <c r="B16" s="81">
        <f>52615000</f>
        <v>52615000</v>
      </c>
      <c r="C16" s="82"/>
      <c r="D16" s="82"/>
      <c r="E16" s="82"/>
      <c r="F16" s="82"/>
      <c r="G16" s="82"/>
      <c r="H16" s="82"/>
      <c r="I16" s="82"/>
      <c r="J16" s="82"/>
      <c r="K16" s="82"/>
      <c r="M16" s="81"/>
    </row>
    <row r="17" spans="1:11" ht="15">
      <c r="A17" s="80" t="s">
        <v>29</v>
      </c>
      <c r="B17" s="81">
        <v>1000000</v>
      </c>
      <c r="C17" s="82"/>
      <c r="D17" s="82"/>
      <c r="E17" s="82"/>
      <c r="F17" s="82"/>
      <c r="G17" s="82"/>
      <c r="H17" s="82"/>
      <c r="I17" s="82"/>
      <c r="J17" s="82"/>
      <c r="K17" s="82"/>
    </row>
    <row r="18" spans="1:11" ht="15">
      <c r="A18" s="80" t="s">
        <v>40</v>
      </c>
      <c r="B18" s="81">
        <v>50000</v>
      </c>
      <c r="C18" s="82"/>
      <c r="D18" s="82"/>
      <c r="E18" s="82"/>
      <c r="F18" s="82"/>
      <c r="G18" s="82"/>
      <c r="H18" s="82"/>
      <c r="I18" s="82"/>
      <c r="J18" s="82"/>
      <c r="K18" s="82"/>
    </row>
    <row r="19" spans="1:11" ht="15.75" thickBot="1">
      <c r="A19" s="80" t="s">
        <v>1</v>
      </c>
      <c r="B19" s="81">
        <v>4200000</v>
      </c>
      <c r="C19" s="82"/>
      <c r="D19" s="82"/>
      <c r="E19" s="82"/>
      <c r="F19" s="82"/>
      <c r="G19" s="82"/>
      <c r="H19" s="82"/>
      <c r="I19" s="82"/>
      <c r="J19" s="82"/>
      <c r="K19" s="82"/>
    </row>
    <row r="20" spans="1:11" ht="15.75" thickBot="1">
      <c r="A20" s="121" t="s">
        <v>3</v>
      </c>
      <c r="B20" s="122">
        <f>B15-B16-B17+B18+B19</f>
        <v>2169111.638088286</v>
      </c>
      <c r="C20" s="82"/>
      <c r="D20" s="82"/>
      <c r="E20" s="82"/>
      <c r="F20" s="82"/>
      <c r="G20" s="82"/>
      <c r="H20" s="82"/>
      <c r="I20" s="82"/>
      <c r="J20" s="82"/>
      <c r="K20" s="82"/>
    </row>
    <row r="21" spans="1:11" ht="15">
      <c r="A21" s="84" t="s">
        <v>18</v>
      </c>
      <c r="B21" s="86">
        <f>B20/B15</f>
        <v>0.04209079324625671</v>
      </c>
      <c r="C21" s="87"/>
      <c r="D21" s="87"/>
      <c r="E21" s="87"/>
      <c r="F21" s="87"/>
      <c r="G21" s="87"/>
      <c r="H21" s="87"/>
      <c r="I21" s="87"/>
      <c r="J21" s="87"/>
      <c r="K21" s="87"/>
    </row>
    <row r="22" spans="1:11" ht="15">
      <c r="A22" s="80"/>
      <c r="B22" s="86"/>
      <c r="C22" s="86"/>
      <c r="D22" s="86"/>
      <c r="E22" s="86"/>
      <c r="F22" s="86"/>
      <c r="G22" s="86"/>
      <c r="H22" s="86"/>
      <c r="I22" s="86"/>
      <c r="J22" s="86"/>
      <c r="K22" s="86"/>
    </row>
    <row r="23" spans="1:11" ht="15">
      <c r="A23" s="80"/>
      <c r="B23" s="81"/>
      <c r="C23" s="88"/>
      <c r="D23" s="89"/>
      <c r="E23" s="86"/>
      <c r="F23" s="86"/>
      <c r="G23" s="86"/>
      <c r="H23" s="86"/>
      <c r="I23" s="86"/>
      <c r="J23" s="86"/>
      <c r="K23" s="86"/>
    </row>
    <row r="24" spans="1:11" ht="15.75" thickBot="1">
      <c r="A24" s="80"/>
      <c r="C24" s="90"/>
      <c r="K24" s="82"/>
    </row>
    <row r="25" spans="1:11" ht="15.75" thickBot="1">
      <c r="A25" s="91" t="s">
        <v>2</v>
      </c>
      <c r="K25" s="81"/>
    </row>
    <row r="26" spans="1:7" ht="15">
      <c r="A26" s="80"/>
      <c r="B26" s="92"/>
      <c r="C26" s="92"/>
      <c r="D26" s="87"/>
      <c r="F26" s="93"/>
      <c r="G26" s="93"/>
    </row>
    <row r="27" spans="1:3" ht="15">
      <c r="A27" s="70" t="s">
        <v>49</v>
      </c>
      <c r="B27" s="81">
        <f>B15</f>
        <v>51534111.638088286</v>
      </c>
      <c r="C27" s="94"/>
    </row>
    <row r="28" spans="1:3" ht="15">
      <c r="A28" s="70" t="s">
        <v>3</v>
      </c>
      <c r="B28" s="81">
        <f>B20</f>
        <v>2169111.638088286</v>
      </c>
      <c r="C28" s="81"/>
    </row>
    <row r="29" spans="1:5" ht="15">
      <c r="A29" s="70" t="s">
        <v>18</v>
      </c>
      <c r="B29" s="86">
        <f>B28/B27</f>
        <v>0.04209079324625671</v>
      </c>
      <c r="C29" s="81"/>
      <c r="D29" s="81"/>
      <c r="E29" s="81"/>
    </row>
    <row r="30" spans="2:4" ht="15">
      <c r="B30" s="81"/>
      <c r="C30" s="81"/>
      <c r="D30" s="81"/>
    </row>
    <row r="31" spans="2:4" ht="15">
      <c r="B31" s="95"/>
      <c r="C31" s="81"/>
      <c r="D31" s="81"/>
    </row>
    <row r="32" ht="15">
      <c r="D32" s="81"/>
    </row>
    <row r="33" spans="1:5" ht="15">
      <c r="A33" s="80" t="s">
        <v>4</v>
      </c>
      <c r="B33" s="96">
        <f>IF(B28&gt;0,-SUM(E40:E44),-SUM(E49:E51))</f>
        <v>-155772.07223640935</v>
      </c>
      <c r="D33" s="81"/>
      <c r="E33" s="81"/>
    </row>
    <row r="34" spans="1:4" ht="15">
      <c r="A34" s="80" t="s">
        <v>0</v>
      </c>
      <c r="B34" s="82">
        <f>B33/0.98-B33</f>
        <v>-3179.0218823757023</v>
      </c>
      <c r="C34" s="97"/>
      <c r="D34" s="81"/>
    </row>
    <row r="35" spans="1:2" ht="15">
      <c r="A35" s="80" t="s">
        <v>31</v>
      </c>
      <c r="B35" s="98"/>
    </row>
    <row r="36" spans="1:2" ht="15.75" thickBot="1">
      <c r="A36" s="80" t="s">
        <v>5</v>
      </c>
      <c r="B36" s="99">
        <f>SUM(B33:B35)</f>
        <v>-158951.09411878505</v>
      </c>
    </row>
    <row r="37" ht="15.75" thickTop="1"/>
    <row r="38" spans="2:10" ht="15">
      <c r="B38" s="81"/>
      <c r="C38" s="100"/>
      <c r="D38" s="100" t="s">
        <v>26</v>
      </c>
      <c r="E38" s="100"/>
      <c r="F38" s="100"/>
      <c r="G38" s="100"/>
      <c r="J38" s="101"/>
    </row>
    <row r="39" spans="1:10" ht="15">
      <c r="A39" s="70" t="s">
        <v>19</v>
      </c>
      <c r="B39" s="70" t="s">
        <v>6</v>
      </c>
      <c r="C39" s="100" t="s">
        <v>7</v>
      </c>
      <c r="D39" s="100" t="s">
        <v>27</v>
      </c>
      <c r="E39" s="100" t="s">
        <v>8</v>
      </c>
      <c r="F39" s="100"/>
      <c r="G39" s="100" t="s">
        <v>28</v>
      </c>
      <c r="J39" s="102"/>
    </row>
    <row r="40" spans="2:10" ht="15">
      <c r="B40" s="103" t="s">
        <v>20</v>
      </c>
      <c r="C40" s="104">
        <v>0</v>
      </c>
      <c r="D40" s="105">
        <f>IF(G40&lt;=0,0,IF($B$27*0.03&gt;G40,G40,$B$27*0.03))</f>
        <v>1546023.3491426485</v>
      </c>
      <c r="E40" s="105">
        <f>+C40*D40</f>
        <v>0</v>
      </c>
      <c r="G40" s="106">
        <f>+IF(B28&lt;0,0,B28)</f>
        <v>2169111.638088286</v>
      </c>
      <c r="H40" s="106"/>
      <c r="J40" s="105"/>
    </row>
    <row r="41" spans="2:10" ht="15">
      <c r="B41" s="103" t="s">
        <v>21</v>
      </c>
      <c r="C41" s="104">
        <v>0.25</v>
      </c>
      <c r="D41" s="105">
        <f>IF(G41&lt;=0,0,IF($B$27*0.02&gt;G41,G41,$B$27*0.02))</f>
        <v>623088.2889456374</v>
      </c>
      <c r="E41" s="105">
        <f>+C41*D41</f>
        <v>155772.07223640935</v>
      </c>
      <c r="G41" s="106">
        <f>+G40-D40</f>
        <v>623088.2889456374</v>
      </c>
      <c r="H41" s="106"/>
      <c r="J41" s="105"/>
    </row>
    <row r="42" spans="2:10" ht="15">
      <c r="B42" s="103" t="s">
        <v>22</v>
      </c>
      <c r="C42" s="104">
        <v>0.5</v>
      </c>
      <c r="D42" s="105">
        <f>IF(G42&lt;=0,0,IF($B$27*0.02&gt;G42,G42,$B$27*0.02))</f>
        <v>0</v>
      </c>
      <c r="E42" s="105">
        <f>+C42*D42</f>
        <v>0</v>
      </c>
      <c r="G42" s="106">
        <f>+G41-D41</f>
        <v>0</v>
      </c>
      <c r="H42" s="95"/>
      <c r="J42" s="105"/>
    </row>
    <row r="43" spans="2:10" ht="15">
      <c r="B43" s="103" t="s">
        <v>23</v>
      </c>
      <c r="C43" s="104">
        <v>0.75</v>
      </c>
      <c r="D43" s="105">
        <f>IF(G43&lt;=0,0,IF($B$27*0.02&gt;G43,G43,$B$27*0.02))</f>
        <v>0</v>
      </c>
      <c r="E43" s="105">
        <f>+C43*D43</f>
        <v>0</v>
      </c>
      <c r="G43" s="106">
        <f>+G42-D42</f>
        <v>0</v>
      </c>
      <c r="H43" s="106"/>
      <c r="J43" s="105"/>
    </row>
    <row r="44" spans="2:10" ht="15">
      <c r="B44" s="103" t="s">
        <v>24</v>
      </c>
      <c r="C44" s="104">
        <v>1</v>
      </c>
      <c r="D44" s="105">
        <f>IF(G44&lt;=0,0,IF($B$27*0.91&gt;G44,G44,$B$27*0.91))</f>
        <v>0</v>
      </c>
      <c r="E44" s="105">
        <f>+C44*D44</f>
        <v>0</v>
      </c>
      <c r="G44" s="106">
        <f>+G43-D43</f>
        <v>0</v>
      </c>
      <c r="H44" s="106"/>
      <c r="J44" s="105"/>
    </row>
    <row r="45" spans="2:5" ht="10.5" customHeight="1">
      <c r="B45" s="103"/>
      <c r="C45" s="103"/>
      <c r="E45" s="106"/>
    </row>
    <row r="47" spans="2:10" ht="15">
      <c r="B47" s="81"/>
      <c r="C47" s="100"/>
      <c r="D47" s="100" t="s">
        <v>9</v>
      </c>
      <c r="E47" s="100"/>
      <c r="F47" s="100"/>
      <c r="G47" s="100"/>
      <c r="J47" s="107"/>
    </row>
    <row r="48" spans="1:10" ht="15">
      <c r="A48" s="70" t="s">
        <v>19</v>
      </c>
      <c r="B48" s="70" t="s">
        <v>10</v>
      </c>
      <c r="C48" s="100" t="s">
        <v>7</v>
      </c>
      <c r="D48" s="100" t="s">
        <v>11</v>
      </c>
      <c r="E48" s="100" t="s">
        <v>12</v>
      </c>
      <c r="F48" s="100"/>
      <c r="G48" s="100" t="s">
        <v>28</v>
      </c>
      <c r="J48" s="107"/>
    </row>
    <row r="49" spans="2:10" ht="15">
      <c r="B49" s="103" t="s">
        <v>20</v>
      </c>
      <c r="C49" s="104">
        <v>0</v>
      </c>
      <c r="D49" s="105">
        <f>IF(G49&gt;0,0,IF(-$B$27*0.03&lt;G49,G49,-$B$27*0.03))</f>
        <v>0</v>
      </c>
      <c r="E49" s="105">
        <f>+D49*C49</f>
        <v>0</v>
      </c>
      <c r="G49" s="106">
        <f>+IF(B28&gt;0,0,B28)</f>
        <v>0</v>
      </c>
      <c r="H49" s="106"/>
      <c r="J49" s="105"/>
    </row>
    <row r="50" spans="2:10" ht="15">
      <c r="B50" s="103" t="s">
        <v>13</v>
      </c>
      <c r="C50" s="104">
        <v>0.5</v>
      </c>
      <c r="D50" s="105">
        <f>IF(G50&gt;0,0,IF(-$B$27*0.03&lt;G50,G50,-$B$27*0.03))</f>
        <v>0</v>
      </c>
      <c r="E50" s="105">
        <f>+D50*C50</f>
        <v>0</v>
      </c>
      <c r="G50" s="106">
        <f>+G49-D49</f>
        <v>0</v>
      </c>
      <c r="H50" s="106"/>
      <c r="J50" s="105"/>
    </row>
    <row r="51" spans="2:10" ht="15">
      <c r="B51" s="103" t="s">
        <v>14</v>
      </c>
      <c r="C51" s="104">
        <v>1</v>
      </c>
      <c r="D51" s="105">
        <f>IF(G51&gt;0,0,IF(-$B$27*0.94&lt;G51,G51,-$B$27*0.94))</f>
        <v>0</v>
      </c>
      <c r="E51" s="105">
        <f>+D51*C51</f>
        <v>0</v>
      </c>
      <c r="G51" s="106">
        <f>+G50-D50</f>
        <v>0</v>
      </c>
      <c r="H51" s="106"/>
      <c r="J51" s="105"/>
    </row>
    <row r="52" spans="2:8" ht="15">
      <c r="B52" s="103"/>
      <c r="C52" s="104"/>
      <c r="D52" s="105"/>
      <c r="E52" s="105"/>
      <c r="H52" s="106"/>
    </row>
    <row r="53" spans="2:8" ht="15">
      <c r="B53" s="103"/>
      <c r="C53" s="104"/>
      <c r="D53" s="105"/>
      <c r="E53" s="105"/>
      <c r="H53" s="106"/>
    </row>
    <row r="54" ht="15.75" thickBot="1"/>
    <row r="55" spans="1:8" ht="15">
      <c r="A55" s="108" t="s">
        <v>15</v>
      </c>
      <c r="B55" s="109"/>
      <c r="C55" s="109"/>
      <c r="D55" s="109"/>
      <c r="E55" s="109"/>
      <c r="F55" s="109"/>
      <c r="G55" s="109"/>
      <c r="H55" s="110"/>
    </row>
    <row r="56" spans="1:8" ht="15">
      <c r="A56" s="111"/>
      <c r="B56" s="101"/>
      <c r="C56" s="101"/>
      <c r="D56" s="101"/>
      <c r="E56" s="101"/>
      <c r="F56" s="101"/>
      <c r="G56" s="101"/>
      <c r="H56" s="112"/>
    </row>
    <row r="57" spans="1:8" ht="15">
      <c r="A57" s="113" t="s">
        <v>38</v>
      </c>
      <c r="B57" s="114"/>
      <c r="C57" s="114"/>
      <c r="D57" s="114"/>
      <c r="E57" s="114"/>
      <c r="F57" s="114"/>
      <c r="G57" s="114"/>
      <c r="H57" s="112"/>
    </row>
    <row r="58" spans="1:8" ht="15">
      <c r="A58" s="113" t="s">
        <v>46</v>
      </c>
      <c r="B58" s="114"/>
      <c r="C58" s="114"/>
      <c r="D58" s="114"/>
      <c r="E58" s="114"/>
      <c r="F58" s="114"/>
      <c r="G58" s="114"/>
      <c r="H58" s="112"/>
    </row>
    <row r="59" spans="1:8" ht="15">
      <c r="A59" s="113" t="s">
        <v>47</v>
      </c>
      <c r="B59" s="114"/>
      <c r="C59" s="114"/>
      <c r="D59" s="114"/>
      <c r="E59" s="114"/>
      <c r="F59" s="114"/>
      <c r="G59" s="114"/>
      <c r="H59" s="112"/>
    </row>
    <row r="60" spans="1:8" ht="15">
      <c r="A60" s="113" t="s">
        <v>37</v>
      </c>
      <c r="B60" s="114"/>
      <c r="C60" s="114"/>
      <c r="D60" s="114"/>
      <c r="E60" s="114"/>
      <c r="F60" s="114"/>
      <c r="G60" s="114"/>
      <c r="H60" s="112"/>
    </row>
    <row r="61" spans="1:8" ht="15">
      <c r="A61" s="111" t="s">
        <v>43</v>
      </c>
      <c r="B61" s="101"/>
      <c r="C61" s="101"/>
      <c r="D61" s="101"/>
      <c r="E61" s="101"/>
      <c r="F61" s="101"/>
      <c r="G61" s="101"/>
      <c r="H61" s="112"/>
    </row>
    <row r="62" spans="1:8" ht="15">
      <c r="A62" s="115" t="s">
        <v>51</v>
      </c>
      <c r="B62" s="101"/>
      <c r="C62" s="101"/>
      <c r="D62" s="101"/>
      <c r="E62" s="101"/>
      <c r="F62" s="101"/>
      <c r="G62" s="101"/>
      <c r="H62" s="112"/>
    </row>
    <row r="63" spans="1:8" ht="15">
      <c r="A63" s="116" t="s">
        <v>44</v>
      </c>
      <c r="B63" s="101"/>
      <c r="C63" s="101"/>
      <c r="D63" s="101"/>
      <c r="E63" s="101"/>
      <c r="F63" s="101"/>
      <c r="G63" s="101"/>
      <c r="H63" s="112"/>
    </row>
    <row r="64" spans="1:8" ht="15.75" thickBot="1">
      <c r="A64" s="117" t="s">
        <v>42</v>
      </c>
      <c r="B64" s="118"/>
      <c r="C64" s="118"/>
      <c r="D64" s="118"/>
      <c r="E64" s="118"/>
      <c r="F64" s="118"/>
      <c r="G64" s="118"/>
      <c r="H64" s="119"/>
    </row>
  </sheetData>
  <sheetProtection/>
  <mergeCells count="1">
    <mergeCell ref="A5:K5"/>
  </mergeCells>
  <printOptions/>
  <pageMargins left="0.75" right="0.75" top="0.4207843137254902" bottom="1" header="0.5" footer="0.5"/>
  <pageSetup fitToHeight="1" fitToWidth="1" horizontalDpi="600" verticalDpi="600" orientation="portrait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4"/>
  <sheetViews>
    <sheetView zoomScalePageLayoutView="85" workbookViewId="0" topLeftCell="A1">
      <selection activeCell="A1" sqref="A1"/>
    </sheetView>
  </sheetViews>
  <sheetFormatPr defaultColWidth="9.140625" defaultRowHeight="12.75"/>
  <cols>
    <col min="1" max="1" width="51.28125" style="3" customWidth="1"/>
    <col min="2" max="2" width="15.140625" style="3" customWidth="1"/>
    <col min="3" max="3" width="18.140625" style="3" bestFit="1" customWidth="1"/>
    <col min="4" max="4" width="15.57421875" style="3" bestFit="1" customWidth="1"/>
    <col min="5" max="7" width="13.00390625" style="3" customWidth="1"/>
    <col min="8" max="8" width="13.7109375" style="3" customWidth="1"/>
    <col min="9" max="9" width="13.8515625" style="3" bestFit="1" customWidth="1"/>
    <col min="10" max="10" width="14.28125" style="3" bestFit="1" customWidth="1"/>
    <col min="11" max="11" width="13.8515625" style="3" bestFit="1" customWidth="1"/>
    <col min="12" max="12" width="9.140625" style="3" customWidth="1"/>
    <col min="13" max="13" width="12.8515625" style="3" bestFit="1" customWidth="1"/>
    <col min="14" max="16384" width="9.140625" style="3" customWidth="1"/>
  </cols>
  <sheetData>
    <row r="1" spans="1:14" ht="12.75">
      <c r="A1" s="1" t="s">
        <v>32</v>
      </c>
      <c r="B1" s="2"/>
      <c r="C1" s="57"/>
      <c r="D1" s="57"/>
      <c r="E1" s="57"/>
      <c r="F1" s="57"/>
      <c r="G1" s="57"/>
      <c r="H1" s="57"/>
      <c r="I1" s="57"/>
      <c r="J1" s="57"/>
      <c r="K1" s="57"/>
      <c r="L1" s="55"/>
      <c r="M1" s="55"/>
      <c r="N1" s="55"/>
    </row>
    <row r="2" spans="1:14" ht="12.75">
      <c r="A2" s="44" t="s">
        <v>33</v>
      </c>
      <c r="B2" s="41"/>
      <c r="C2" s="58"/>
      <c r="D2" s="56"/>
      <c r="E2" s="56"/>
      <c r="F2" s="56"/>
      <c r="G2" s="56"/>
      <c r="H2" s="56"/>
      <c r="I2" s="56"/>
      <c r="J2" s="56"/>
      <c r="K2" s="56"/>
      <c r="L2" s="55"/>
      <c r="M2" s="55"/>
      <c r="N2" s="55"/>
    </row>
    <row r="3" spans="1:14" ht="9.75">
      <c r="A3" s="4" t="s">
        <v>16</v>
      </c>
      <c r="B3" s="2"/>
      <c r="C3" s="57"/>
      <c r="D3" s="57"/>
      <c r="E3" s="57"/>
      <c r="F3" s="57"/>
      <c r="G3" s="57"/>
      <c r="H3" s="57"/>
      <c r="I3" s="57"/>
      <c r="J3" s="57"/>
      <c r="K3" s="57"/>
      <c r="L3" s="55"/>
      <c r="M3" s="55"/>
      <c r="N3" s="55"/>
    </row>
    <row r="4" spans="1:14" ht="9.75">
      <c r="A4" s="41" t="s">
        <v>17</v>
      </c>
      <c r="B4" s="41"/>
      <c r="C4" s="58"/>
      <c r="D4" s="56"/>
      <c r="E4" s="56"/>
      <c r="F4" s="56"/>
      <c r="G4" s="56"/>
      <c r="H4" s="56"/>
      <c r="I4" s="56"/>
      <c r="J4" s="56"/>
      <c r="K4" s="56"/>
      <c r="L4" s="55"/>
      <c r="M4" s="55"/>
      <c r="N4" s="55"/>
    </row>
    <row r="5" spans="1:11" ht="12.75" customHeight="1">
      <c r="A5" s="54"/>
      <c r="B5" s="54"/>
      <c r="C5" s="54"/>
      <c r="D5" s="54"/>
      <c r="E5" s="54"/>
      <c r="F5" s="54"/>
      <c r="G5" s="54"/>
      <c r="H5" s="54"/>
      <c r="I5" s="54"/>
      <c r="J5" s="54"/>
      <c r="K5" s="54"/>
    </row>
    <row r="7" ht="10.5" thickBot="1"/>
    <row r="8" spans="1:11" ht="10.5" thickBot="1">
      <c r="A8" s="5"/>
      <c r="B8" s="6" t="s">
        <v>32</v>
      </c>
      <c r="C8" s="8"/>
      <c r="D8" s="9"/>
      <c r="E8" s="9"/>
      <c r="F8" s="8"/>
      <c r="G8" s="8"/>
      <c r="H8" s="10"/>
      <c r="I8" s="8"/>
      <c r="J8" s="8"/>
      <c r="K8" s="8"/>
    </row>
    <row r="9" spans="1:11" ht="9.75">
      <c r="A9" s="7"/>
      <c r="B9" s="8"/>
      <c r="C9" s="8"/>
      <c r="D9" s="9"/>
      <c r="E9" s="9"/>
      <c r="F9" s="8"/>
      <c r="G9" s="8"/>
      <c r="H9" s="10"/>
      <c r="I9" s="8"/>
      <c r="J9" s="8"/>
      <c r="K9" s="8"/>
    </row>
    <row r="10" spans="1:11" ht="9.75">
      <c r="A10" s="11" t="s">
        <v>30</v>
      </c>
      <c r="B10" s="12">
        <v>58400000</v>
      </c>
      <c r="C10" s="16"/>
      <c r="D10" s="16"/>
      <c r="E10" s="16"/>
      <c r="F10" s="16"/>
      <c r="G10" s="16"/>
      <c r="H10" s="16"/>
      <c r="I10" s="16"/>
      <c r="J10" s="16"/>
      <c r="K10" s="16"/>
    </row>
    <row r="11" spans="1:11" ht="9.75">
      <c r="A11" s="13" t="s">
        <v>34</v>
      </c>
      <c r="B11" s="12">
        <f>+SUM(B10:B10)</f>
        <v>58400000</v>
      </c>
      <c r="C11" s="16"/>
      <c r="D11" s="16"/>
      <c r="E11" s="16"/>
      <c r="F11" s="16"/>
      <c r="G11" s="16"/>
      <c r="H11" s="16"/>
      <c r="I11" s="16"/>
      <c r="J11" s="16"/>
      <c r="K11" s="16"/>
    </row>
    <row r="12" spans="1:11" ht="9.75">
      <c r="A12" s="45" t="s">
        <v>25</v>
      </c>
      <c r="B12" s="12">
        <f>(B11-B14-B13)-((B11-B14-B13)/1.0964)</f>
        <v>4967888.361911714</v>
      </c>
      <c r="C12" s="16"/>
      <c r="D12" s="16"/>
      <c r="E12" s="16"/>
      <c r="F12" s="16"/>
      <c r="G12" s="16"/>
      <c r="H12" s="16"/>
      <c r="I12" s="16"/>
      <c r="J12" s="16"/>
      <c r="K12" s="16"/>
    </row>
    <row r="13" spans="1:11" ht="9.75">
      <c r="A13" s="45" t="s">
        <v>48</v>
      </c>
      <c r="B13" s="12">
        <v>730000</v>
      </c>
      <c r="C13" s="16"/>
      <c r="D13" s="16"/>
      <c r="E13" s="16"/>
      <c r="F13" s="16"/>
      <c r="G13" s="16"/>
      <c r="H13" s="16"/>
      <c r="I13" s="16"/>
      <c r="J13" s="16"/>
      <c r="K13" s="16"/>
    </row>
    <row r="14" spans="1:13" ht="9.75">
      <c r="A14" s="11" t="s">
        <v>0</v>
      </c>
      <c r="B14" s="12">
        <f>B11*0.02</f>
        <v>1168000</v>
      </c>
      <c r="C14" s="16"/>
      <c r="D14" s="16"/>
      <c r="E14" s="16"/>
      <c r="F14" s="16"/>
      <c r="G14" s="16"/>
      <c r="H14" s="16"/>
      <c r="I14" s="16"/>
      <c r="J14" s="16"/>
      <c r="K14" s="16"/>
      <c r="M14" s="12"/>
    </row>
    <row r="15" spans="1:11" ht="9.75">
      <c r="A15" s="45" t="s">
        <v>35</v>
      </c>
      <c r="B15" s="12">
        <f>B11-SUM(B12:B14)</f>
        <v>51534111.638088286</v>
      </c>
      <c r="C15" s="16"/>
      <c r="D15" s="16"/>
      <c r="E15" s="16"/>
      <c r="F15" s="16"/>
      <c r="G15" s="16"/>
      <c r="H15" s="16"/>
      <c r="I15" s="16"/>
      <c r="J15" s="16"/>
      <c r="K15" s="16"/>
    </row>
    <row r="16" spans="1:13" ht="9.75">
      <c r="A16" s="11" t="s">
        <v>36</v>
      </c>
      <c r="B16" s="12">
        <f>57615000</f>
        <v>57615000</v>
      </c>
      <c r="C16" s="16"/>
      <c r="D16" s="16"/>
      <c r="E16" s="16"/>
      <c r="F16" s="16"/>
      <c r="G16" s="16"/>
      <c r="H16" s="16"/>
      <c r="I16" s="16"/>
      <c r="J16" s="16"/>
      <c r="K16" s="16"/>
      <c r="M16" s="12"/>
    </row>
    <row r="17" spans="1:11" ht="9.75">
      <c r="A17" s="11" t="s">
        <v>29</v>
      </c>
      <c r="B17" s="12">
        <v>1000000</v>
      </c>
      <c r="C17" s="16"/>
      <c r="D17" s="16"/>
      <c r="E17" s="16"/>
      <c r="F17" s="16"/>
      <c r="G17" s="16"/>
      <c r="H17" s="16"/>
      <c r="I17" s="16"/>
      <c r="J17" s="16"/>
      <c r="K17" s="16"/>
    </row>
    <row r="18" spans="1:11" ht="9.75">
      <c r="A18" s="11" t="s">
        <v>40</v>
      </c>
      <c r="B18" s="12">
        <v>50000</v>
      </c>
      <c r="C18" s="16"/>
      <c r="D18" s="16"/>
      <c r="E18" s="16"/>
      <c r="F18" s="16"/>
      <c r="G18" s="16"/>
      <c r="H18" s="16"/>
      <c r="I18" s="16"/>
      <c r="J18" s="16"/>
      <c r="K18" s="16"/>
    </row>
    <row r="19" spans="1:11" ht="10.5" thickBot="1">
      <c r="A19" s="11" t="s">
        <v>1</v>
      </c>
      <c r="B19" s="12">
        <v>4200000</v>
      </c>
      <c r="C19" s="16"/>
      <c r="D19" s="16"/>
      <c r="E19" s="16"/>
      <c r="F19" s="16"/>
      <c r="G19" s="16"/>
      <c r="H19" s="16"/>
      <c r="I19" s="16"/>
      <c r="J19" s="16"/>
      <c r="K19" s="16"/>
    </row>
    <row r="20" spans="1:11" ht="10.5" thickBot="1">
      <c r="A20" s="46" t="s">
        <v>3</v>
      </c>
      <c r="B20" s="14">
        <f>B15-B16-B17+B18+B19</f>
        <v>-2830888.361911714</v>
      </c>
      <c r="C20" s="16"/>
      <c r="D20" s="16"/>
      <c r="E20" s="16"/>
      <c r="F20" s="16"/>
      <c r="G20" s="16"/>
      <c r="H20" s="16"/>
      <c r="I20" s="16"/>
      <c r="J20" s="16"/>
      <c r="K20" s="16"/>
    </row>
    <row r="21" spans="1:11" ht="9.75">
      <c r="A21" s="45" t="s">
        <v>18</v>
      </c>
      <c r="B21" s="15">
        <f>B20/B15</f>
        <v>-0.05493232097978839</v>
      </c>
      <c r="C21" s="19"/>
      <c r="D21" s="19"/>
      <c r="E21" s="19"/>
      <c r="F21" s="19"/>
      <c r="G21" s="19"/>
      <c r="H21" s="19"/>
      <c r="I21" s="19"/>
      <c r="J21" s="19"/>
      <c r="K21" s="19"/>
    </row>
    <row r="22" spans="1:11" ht="9.75">
      <c r="A22" s="11"/>
      <c r="B22" s="15"/>
      <c r="C22" s="15"/>
      <c r="D22" s="15"/>
      <c r="E22" s="15"/>
      <c r="F22" s="15"/>
      <c r="G22" s="15"/>
      <c r="H22" s="15"/>
      <c r="I22" s="15"/>
      <c r="J22" s="15"/>
      <c r="K22" s="15"/>
    </row>
    <row r="23" spans="1:11" ht="9.75">
      <c r="A23" s="11"/>
      <c r="B23" s="12"/>
      <c r="C23" s="49"/>
      <c r="D23" s="51"/>
      <c r="E23" s="15"/>
      <c r="F23" s="15"/>
      <c r="G23" s="15"/>
      <c r="H23" s="15"/>
      <c r="I23" s="15"/>
      <c r="J23" s="15"/>
      <c r="K23" s="15"/>
    </row>
    <row r="24" spans="1:11" ht="10.5" thickBot="1">
      <c r="A24" s="11"/>
      <c r="C24" s="50"/>
      <c r="K24" s="16"/>
    </row>
    <row r="25" spans="1:11" ht="10.5" thickBot="1">
      <c r="A25" s="17" t="s">
        <v>2</v>
      </c>
      <c r="K25" s="12"/>
    </row>
    <row r="26" spans="1:7" ht="9.75">
      <c r="A26" s="11"/>
      <c r="B26" s="18"/>
      <c r="C26" s="18"/>
      <c r="D26" s="19"/>
      <c r="F26" s="20"/>
      <c r="G26" s="20"/>
    </row>
    <row r="27" spans="1:13" ht="12.75">
      <c r="A27" s="60" t="s">
        <v>49</v>
      </c>
      <c r="B27" s="12">
        <f>B15</f>
        <v>51534111.638088286</v>
      </c>
      <c r="C27" s="53"/>
      <c r="D27"/>
      <c r="E27"/>
      <c r="F27"/>
      <c r="G27"/>
      <c r="H27"/>
      <c r="I27"/>
      <c r="J27"/>
      <c r="K27"/>
      <c r="L27"/>
      <c r="M27"/>
    </row>
    <row r="28" spans="1:13" ht="12.75">
      <c r="A28" s="3" t="s">
        <v>3</v>
      </c>
      <c r="B28" s="12">
        <f>B20</f>
        <v>-2830888.361911714</v>
      </c>
      <c r="C28" s="43"/>
      <c r="D28"/>
      <c r="E28"/>
      <c r="F28"/>
      <c r="G28"/>
      <c r="H28"/>
      <c r="I28"/>
      <c r="J28"/>
      <c r="K28"/>
      <c r="L28"/>
      <c r="M28"/>
    </row>
    <row r="29" spans="1:13" ht="12.75">
      <c r="A29" s="60" t="s">
        <v>18</v>
      </c>
      <c r="B29" s="15">
        <f>B28/B27</f>
        <v>-0.05493232097978839</v>
      </c>
      <c r="C29" s="43"/>
      <c r="D29" s="43"/>
      <c r="E29" s="43"/>
      <c r="F29"/>
      <c r="G29"/>
      <c r="H29"/>
      <c r="I29"/>
      <c r="J29"/>
      <c r="K29"/>
      <c r="L29"/>
      <c r="M29"/>
    </row>
    <row r="30" spans="2:13" ht="12.75">
      <c r="B30" s="12"/>
      <c r="C30" s="43"/>
      <c r="D30" s="43"/>
      <c r="E30"/>
      <c r="F30"/>
      <c r="G30"/>
      <c r="H30"/>
      <c r="I30"/>
      <c r="J30"/>
      <c r="K30"/>
      <c r="L30"/>
      <c r="M30"/>
    </row>
    <row r="31" spans="2:13" ht="12.75">
      <c r="B31" s="42"/>
      <c r="C31" s="43"/>
      <c r="D31" s="43"/>
      <c r="E31"/>
      <c r="F31"/>
      <c r="G31"/>
      <c r="H31"/>
      <c r="I31"/>
      <c r="J31"/>
      <c r="K31"/>
      <c r="L31"/>
      <c r="M31"/>
    </row>
    <row r="32" spans="3:13" ht="12.75">
      <c r="C32"/>
      <c r="D32" s="43"/>
      <c r="E32"/>
      <c r="F32"/>
      <c r="G32"/>
      <c r="H32"/>
      <c r="I32"/>
      <c r="J32"/>
      <c r="K32"/>
      <c r="L32"/>
      <c r="M32"/>
    </row>
    <row r="33" spans="1:13" ht="12.75">
      <c r="A33" s="11" t="s">
        <v>4</v>
      </c>
      <c r="B33" s="21">
        <f>IF(B28&gt;0,-SUM(E40:E44),-SUM(E49:E51))</f>
        <v>642432.5063845328</v>
      </c>
      <c r="C33"/>
      <c r="D33" s="43"/>
      <c r="E33" s="43"/>
      <c r="F33"/>
      <c r="G33"/>
      <c r="H33"/>
      <c r="I33"/>
      <c r="J33"/>
      <c r="K33"/>
      <c r="L33"/>
      <c r="M33"/>
    </row>
    <row r="34" spans="1:13" ht="12.75">
      <c r="A34" s="11" t="s">
        <v>0</v>
      </c>
      <c r="B34" s="16">
        <f>B33/0.98-B33</f>
        <v>13110.867477235384</v>
      </c>
      <c r="C34" s="48"/>
      <c r="D34" s="43"/>
      <c r="E34"/>
      <c r="F34"/>
      <c r="G34"/>
      <c r="H34"/>
      <c r="I34"/>
      <c r="J34"/>
      <c r="K34"/>
      <c r="L34"/>
      <c r="M34"/>
    </row>
    <row r="35" spans="1:13" ht="12.75">
      <c r="A35" s="11" t="s">
        <v>31</v>
      </c>
      <c r="B35" s="22"/>
      <c r="C35"/>
      <c r="D35"/>
      <c r="E35"/>
      <c r="F35"/>
      <c r="G35"/>
      <c r="H35"/>
      <c r="I35"/>
      <c r="J35"/>
      <c r="K35"/>
      <c r="L35"/>
      <c r="M35"/>
    </row>
    <row r="36" spans="1:13" ht="13.5" thickBot="1">
      <c r="A36" s="11" t="s">
        <v>5</v>
      </c>
      <c r="B36" s="23">
        <f>SUM(B33:B35)</f>
        <v>655543.3738617682</v>
      </c>
      <c r="C36"/>
      <c r="D36"/>
      <c r="E36"/>
      <c r="F36"/>
      <c r="G36"/>
      <c r="H36"/>
      <c r="I36"/>
      <c r="J36"/>
      <c r="K36"/>
      <c r="L36"/>
      <c r="M36"/>
    </row>
    <row r="37" spans="3:13" ht="13.5" thickTop="1">
      <c r="C37"/>
      <c r="D37"/>
      <c r="E37"/>
      <c r="F37"/>
      <c r="G37"/>
      <c r="H37"/>
      <c r="I37"/>
      <c r="J37"/>
      <c r="K37"/>
      <c r="L37"/>
      <c r="M37"/>
    </row>
    <row r="38" spans="2:10" ht="11.25">
      <c r="B38" s="12"/>
      <c r="C38" s="52"/>
      <c r="D38" s="52" t="s">
        <v>26</v>
      </c>
      <c r="E38" s="52"/>
      <c r="F38" s="52"/>
      <c r="G38" s="52"/>
      <c r="J38" s="25"/>
    </row>
    <row r="39" spans="1:10" ht="11.25">
      <c r="A39" s="3" t="s">
        <v>19</v>
      </c>
      <c r="B39" s="3" t="s">
        <v>6</v>
      </c>
      <c r="C39" s="52" t="s">
        <v>7</v>
      </c>
      <c r="D39" s="52" t="s">
        <v>27</v>
      </c>
      <c r="E39" s="52" t="s">
        <v>8</v>
      </c>
      <c r="F39" s="52"/>
      <c r="G39" s="52" t="s">
        <v>28</v>
      </c>
      <c r="J39" s="24"/>
    </row>
    <row r="40" spans="2:10" ht="11.25">
      <c r="B40" s="26" t="s">
        <v>20</v>
      </c>
      <c r="C40" s="27">
        <v>0</v>
      </c>
      <c r="D40" s="28">
        <f>IF(G40&lt;=0,0,IF($B$27*0.03&gt;G40,G40,$B$27*0.03))</f>
        <v>0</v>
      </c>
      <c r="E40" s="28">
        <f>+C40*D40</f>
        <v>0</v>
      </c>
      <c r="G40" s="29">
        <f>+IF(B28&lt;0,0,B28)</f>
        <v>0</v>
      </c>
      <c r="H40" s="29"/>
      <c r="J40" s="28"/>
    </row>
    <row r="41" spans="2:10" ht="11.25">
      <c r="B41" s="26" t="s">
        <v>21</v>
      </c>
      <c r="C41" s="27">
        <v>0.25</v>
      </c>
      <c r="D41" s="28">
        <f>IF(G41&lt;=0,0,IF($B$27*0.02&gt;G41,G41,$B$27*0.02))</f>
        <v>0</v>
      </c>
      <c r="E41" s="28">
        <f>+C41*D41</f>
        <v>0</v>
      </c>
      <c r="G41" s="29">
        <f>+G40-D40</f>
        <v>0</v>
      </c>
      <c r="H41" s="29"/>
      <c r="J41" s="28"/>
    </row>
    <row r="42" spans="2:10" ht="11.25">
      <c r="B42" s="26" t="s">
        <v>22</v>
      </c>
      <c r="C42" s="27">
        <v>0.5</v>
      </c>
      <c r="D42" s="28">
        <f>IF(G42&lt;=0,0,IF($B$27*0.02&gt;G42,G42,$B$27*0.02))</f>
        <v>0</v>
      </c>
      <c r="E42" s="28">
        <f>+C42*D42</f>
        <v>0</v>
      </c>
      <c r="G42" s="29">
        <f>+G41-D41</f>
        <v>0</v>
      </c>
      <c r="H42" s="42"/>
      <c r="J42" s="28"/>
    </row>
    <row r="43" spans="2:10" ht="11.25">
      <c r="B43" s="26" t="s">
        <v>23</v>
      </c>
      <c r="C43" s="27">
        <v>0.75</v>
      </c>
      <c r="D43" s="28">
        <f>IF(G43&lt;=0,0,IF($B$27*0.02&gt;G43,G43,$B$27*0.02))</f>
        <v>0</v>
      </c>
      <c r="E43" s="28">
        <f>+C43*D43</f>
        <v>0</v>
      </c>
      <c r="G43" s="29">
        <f>+G42-D42</f>
        <v>0</v>
      </c>
      <c r="H43" s="29"/>
      <c r="J43" s="28"/>
    </row>
    <row r="44" spans="2:10" ht="11.25">
      <c r="B44" s="26" t="s">
        <v>24</v>
      </c>
      <c r="C44" s="27">
        <v>1</v>
      </c>
      <c r="D44" s="28">
        <f>IF(G44&lt;=0,0,IF($B$27*0.91&gt;G44,G44,$B$27*0.91))</f>
        <v>0</v>
      </c>
      <c r="E44" s="28">
        <f>+C44*D44</f>
        <v>0</v>
      </c>
      <c r="G44" s="29">
        <f>+G43-D43</f>
        <v>0</v>
      </c>
      <c r="H44" s="29"/>
      <c r="J44" s="28"/>
    </row>
    <row r="45" spans="2:5" ht="11.25" customHeight="1">
      <c r="B45" s="26"/>
      <c r="C45" s="26"/>
      <c r="E45" s="29"/>
    </row>
    <row r="47" spans="2:10" ht="11.25">
      <c r="B47" s="12"/>
      <c r="C47" s="52"/>
      <c r="D47" s="52" t="s">
        <v>9</v>
      </c>
      <c r="E47" s="52"/>
      <c r="F47" s="52"/>
      <c r="G47" s="52"/>
      <c r="J47" s="30"/>
    </row>
    <row r="48" spans="1:10" ht="11.25">
      <c r="A48" s="3" t="s">
        <v>19</v>
      </c>
      <c r="B48" s="3" t="s">
        <v>10</v>
      </c>
      <c r="C48" s="52" t="s">
        <v>7</v>
      </c>
      <c r="D48" s="52" t="s">
        <v>11</v>
      </c>
      <c r="E48" s="52" t="s">
        <v>12</v>
      </c>
      <c r="F48" s="52"/>
      <c r="G48" s="52" t="s">
        <v>28</v>
      </c>
      <c r="J48" s="30"/>
    </row>
    <row r="49" spans="2:10" ht="11.25">
      <c r="B49" s="26" t="s">
        <v>20</v>
      </c>
      <c r="C49" s="27">
        <v>0</v>
      </c>
      <c r="D49" s="28">
        <f>IF(G49&gt;0,0,IF(-$B$27*0.03&lt;G49,G49,-$B$27*0.03))</f>
        <v>-1546023.3491426485</v>
      </c>
      <c r="E49" s="28">
        <f>+D49*C49</f>
        <v>0</v>
      </c>
      <c r="G49" s="29">
        <f>+IF(B28&gt;0,0,B28)</f>
        <v>-2830888.361911714</v>
      </c>
      <c r="H49" s="29"/>
      <c r="J49" s="28"/>
    </row>
    <row r="50" spans="2:10" ht="11.25">
      <c r="B50" s="26" t="s">
        <v>13</v>
      </c>
      <c r="C50" s="27">
        <v>0.5</v>
      </c>
      <c r="D50" s="28">
        <f>IF(G50&gt;0,0,IF(-$B$27*0.03&lt;G50,G50,-$B$27*0.03))</f>
        <v>-1284865.0127690656</v>
      </c>
      <c r="E50" s="28">
        <f>+D50*C50</f>
        <v>-642432.5063845328</v>
      </c>
      <c r="G50" s="29">
        <f>+G49-D49</f>
        <v>-1284865.0127690656</v>
      </c>
      <c r="H50" s="29"/>
      <c r="J50" s="28"/>
    </row>
    <row r="51" spans="2:10" ht="11.25">
      <c r="B51" s="26" t="s">
        <v>14</v>
      </c>
      <c r="C51" s="27">
        <v>1</v>
      </c>
      <c r="D51" s="28">
        <f>IF(G51&gt;0,0,IF(-$B$27*0.94&lt;G51,G51,-$B$27*0.94))</f>
        <v>0</v>
      </c>
      <c r="E51" s="28">
        <f>+D51*C51</f>
        <v>0</v>
      </c>
      <c r="G51" s="29">
        <f>+G50-D50</f>
        <v>0</v>
      </c>
      <c r="H51" s="29"/>
      <c r="J51" s="28"/>
    </row>
    <row r="52" spans="2:8" ht="11.25">
      <c r="B52" s="26"/>
      <c r="C52" s="27"/>
      <c r="D52" s="28"/>
      <c r="E52" s="28"/>
      <c r="H52" s="29"/>
    </row>
    <row r="53" spans="2:8" ht="11.25">
      <c r="B53" s="26"/>
      <c r="C53" s="27"/>
      <c r="D53" s="28"/>
      <c r="E53" s="28"/>
      <c r="H53" s="29"/>
    </row>
    <row r="54" ht="10.5" thickBot="1"/>
    <row r="55" spans="1:8" ht="12.75">
      <c r="A55" s="31" t="s">
        <v>15</v>
      </c>
      <c r="B55" s="32"/>
      <c r="C55" s="32"/>
      <c r="D55" s="32"/>
      <c r="E55" s="32"/>
      <c r="F55" s="32"/>
      <c r="G55" s="32"/>
      <c r="H55" s="33"/>
    </row>
    <row r="56" spans="1:8" ht="12.75">
      <c r="A56" s="34"/>
      <c r="B56" s="35"/>
      <c r="C56" s="36"/>
      <c r="D56" s="36"/>
      <c r="E56" s="35"/>
      <c r="F56" s="35"/>
      <c r="G56" s="35"/>
      <c r="H56" s="37"/>
    </row>
    <row r="57" spans="1:8" ht="12.75">
      <c r="A57" s="59" t="s">
        <v>39</v>
      </c>
      <c r="B57" s="47"/>
      <c r="C57" s="38"/>
      <c r="D57" s="38"/>
      <c r="E57" s="47"/>
      <c r="F57" s="47"/>
      <c r="G57" s="47"/>
      <c r="H57" s="37"/>
    </row>
    <row r="58" spans="1:8" ht="12.75">
      <c r="A58" s="59" t="s">
        <v>46</v>
      </c>
      <c r="B58" s="47"/>
      <c r="C58" s="38"/>
      <c r="D58" s="38"/>
      <c r="E58" s="47"/>
      <c r="F58" s="47"/>
      <c r="G58" s="47"/>
      <c r="H58" s="37"/>
    </row>
    <row r="59" spans="1:8" ht="12.75">
      <c r="A59" s="59" t="s">
        <v>47</v>
      </c>
      <c r="B59" s="47"/>
      <c r="C59" s="47"/>
      <c r="D59" s="47"/>
      <c r="E59" s="47"/>
      <c r="F59" s="47"/>
      <c r="G59" s="47"/>
      <c r="H59" s="37"/>
    </row>
    <row r="60" spans="1:8" ht="12.75">
      <c r="A60" s="59" t="s">
        <v>37</v>
      </c>
      <c r="B60" s="47"/>
      <c r="C60" s="47"/>
      <c r="D60" s="47"/>
      <c r="E60" s="47"/>
      <c r="F60" s="47"/>
      <c r="G60" s="47"/>
      <c r="H60" s="37"/>
    </row>
    <row r="61" spans="1:8" ht="12.75">
      <c r="A61" s="62" t="s">
        <v>43</v>
      </c>
      <c r="H61" s="61"/>
    </row>
    <row r="62" spans="1:8" ht="12.75">
      <c r="A62" s="64" t="s">
        <v>41</v>
      </c>
      <c r="H62" s="61"/>
    </row>
    <row r="63" spans="1:8" ht="12.75">
      <c r="A63" s="65" t="s">
        <v>44</v>
      </c>
      <c r="H63" s="61"/>
    </row>
    <row r="64" spans="1:8" ht="13.5" thickBot="1">
      <c r="A64" s="63" t="s">
        <v>42</v>
      </c>
      <c r="B64" s="39"/>
      <c r="C64" s="39"/>
      <c r="D64" s="39"/>
      <c r="E64" s="39"/>
      <c r="F64" s="39"/>
      <c r="G64" s="39"/>
      <c r="H64" s="40"/>
    </row>
  </sheetData>
  <sheetProtection/>
  <printOptions/>
  <pageMargins left="0.75" right="0.75" top="1" bottom="1" header="0.5" footer="0.5"/>
  <pageSetup fitToHeight="1" fitToWidth="1" horizontalDpi="600" verticalDpi="600" orientation="landscape" scale="66" r:id="rId1"/>
  <headerFooter alignWithMargins="0">
    <oddHeader>&amp;C&amp;"Arial,Bold"&amp;12Attachment A</oddHeader>
    <oddFooter>&amp;L&amp;Z&amp;F
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AHCCCS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dfnavas</dc:creator>
  <cp:keywords/>
  <dc:description/>
  <cp:lastModifiedBy>Borys, Sandi</cp:lastModifiedBy>
  <cp:lastPrinted>2015-01-26T16:18:32Z</cp:lastPrinted>
  <dcterms:created xsi:type="dcterms:W3CDTF">2011-08-22T23:35:05Z</dcterms:created>
  <dcterms:modified xsi:type="dcterms:W3CDTF">2015-01-26T16:21:10Z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 History">
    <vt:lpwstr/>
  </property>
</Properties>
</file>