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020" windowHeight="10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'Sheet1'!$A$59:$M$90</definedName>
  </definedNames>
  <calcPr fullCalcOnLoad="1"/>
</workbook>
</file>

<file path=xl/sharedStrings.xml><?xml version="1.0" encoding="utf-8"?>
<sst xmlns="http://schemas.openxmlformats.org/spreadsheetml/2006/main" count="455" uniqueCount="64">
  <si>
    <t>Trust</t>
  </si>
  <si>
    <t>TEFRA</t>
  </si>
  <si>
    <t xml:space="preserve"> </t>
  </si>
  <si>
    <t>nnn</t>
  </si>
  <si>
    <t>Estate Recovery</t>
  </si>
  <si>
    <t>Credit Balance Recovery Program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</si>
  <si>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</si>
  <si>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</si>
  <si>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</si>
  <si>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</si>
  <si>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</si>
  <si>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</si>
  <si>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</si>
  <si>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</si>
  <si>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</si>
  <si>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</si>
  <si>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</si>
  <si>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</si>
  <si>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</t>
  </si>
  <si>
    <t>SFY</t>
  </si>
  <si>
    <t>Casualty</t>
  </si>
  <si>
    <t>Restitution</t>
  </si>
  <si>
    <t xml:space="preserve"> Combined</t>
  </si>
  <si>
    <t>Estate</t>
  </si>
  <si>
    <t>Combined</t>
  </si>
  <si>
    <t>Paid to Others</t>
  </si>
  <si>
    <t>Credit Balance</t>
  </si>
  <si>
    <t>Insurance</t>
  </si>
  <si>
    <t>Qtr Rept</t>
  </si>
  <si>
    <t>Reported</t>
  </si>
  <si>
    <t>Medicare</t>
  </si>
  <si>
    <t>Unlocated</t>
  </si>
  <si>
    <t>Total Paid to Other</t>
  </si>
  <si>
    <t>Net Credit Balance</t>
  </si>
  <si>
    <t>Dashboard</t>
  </si>
  <si>
    <t>medicare</t>
  </si>
  <si>
    <t>Annuity Recoveries</t>
  </si>
  <si>
    <t>Commercial Insurance Recovery</t>
  </si>
  <si>
    <r>
      <t>For the Year Ended June 30</t>
    </r>
    <r>
      <rPr>
        <vertAlign val="superscript"/>
        <sz val="12"/>
        <rFont val="Arial"/>
        <family val="2"/>
      </rPr>
      <t>(1)</t>
    </r>
  </si>
  <si>
    <t>TPL Recoveries:</t>
  </si>
  <si>
    <t>Total TPL Recoveries</t>
  </si>
  <si>
    <t xml:space="preserve">Note 1: </t>
  </si>
  <si>
    <t>The annual recovery amount are based upon disbursements from the TLP fund in the respective state fiscal year, and exclude overpayments and amounts paid in error.</t>
  </si>
  <si>
    <t>For the 7 Months ended</t>
  </si>
  <si>
    <t>January 31, 2013</t>
  </si>
  <si>
    <t>(2)</t>
  </si>
  <si>
    <r>
      <t>Contingency Fees Paid</t>
    </r>
    <r>
      <rPr>
        <b/>
        <sz val="12"/>
        <rFont val="Times New Roman"/>
        <family val="1"/>
      </rPr>
      <t>:</t>
    </r>
  </si>
  <si>
    <t>Note 2:</t>
  </si>
  <si>
    <t>Restatement (2010 recovery reported in 13th Month)</t>
  </si>
  <si>
    <t>Includes the cost of insurance verifications for July through September 2008</t>
  </si>
  <si>
    <t>AHCCCS THIRD PARTY PROGRAM RECOVERIES</t>
  </si>
  <si>
    <t>Contractor Fees Paid:</t>
  </si>
  <si>
    <t>Contingency Fees</t>
  </si>
  <si>
    <t xml:space="preserve">Total </t>
  </si>
  <si>
    <r>
      <t>2009</t>
    </r>
    <r>
      <rPr>
        <vertAlign val="superscript"/>
        <sz val="12"/>
        <rFont val="Arial"/>
        <family val="2"/>
      </rPr>
      <t>(2)</t>
    </r>
  </si>
  <si>
    <r>
      <t>2010</t>
    </r>
    <r>
      <rPr>
        <vertAlign val="superscript"/>
        <sz val="12"/>
        <rFont val="Arial"/>
        <family val="2"/>
      </rPr>
      <t>(2)</t>
    </r>
  </si>
  <si>
    <r>
      <t>Insurance Verification Fees</t>
    </r>
    <r>
      <rPr>
        <vertAlign val="superscript"/>
        <sz val="12"/>
        <rFont val="Times New Roman"/>
        <family val="1"/>
      </rPr>
      <t>(3)</t>
    </r>
  </si>
  <si>
    <t xml:space="preserve">Note 2: </t>
  </si>
  <si>
    <t xml:space="preserve">Note 3: </t>
  </si>
  <si>
    <t>The annual recovery amounts are based upon disbursements from the TLP fund in the respective state fiscal year, and exclude overpayments and amounts paid in error.</t>
  </si>
  <si>
    <t>AHCCCS THIRD PARTY LIABILITY PROGRAM RECOVERIES</t>
  </si>
  <si>
    <t>The SFY 2009 and SFY 2010 reported amounts have been restated to correct a reporting anomaly that resulted in one month of SFY 2010 recoveries being reported in SFY 2009.</t>
  </si>
  <si>
    <t>7 Months Ended</t>
  </si>
  <si>
    <t>In 2008 a new TPL RFP was awarded and AHCCCS selected a pricing methodology that combined all compensation into a single contingency fee.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</si>
</sst>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_(&quot;$&quot;* #,##0_);_(&quot;$&quot;* \(#,##0\);_(&quot;$&quot;* &quot;-&quot;??_);_(@_)"/>
    <numFmt numFmtId="168" formatCode="mm/dd/yy;@"/>
    <numFmt numFmtId="169" formatCode="_(&quot;$&quot;* #,##0.0_);_(&quot;$&quot;* \(#,##0.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vertAlign val="superscript"/>
      <sz val="12"/>
      <name val="Arial"/>
      <family val="2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42" applyFont="1" applyBorder="1" applyAlignment="1">
      <alignment/>
    </xf>
    <xf numFmtId="44" fontId="1" fillId="0" borderId="0" xfId="44" applyFont="1" applyBorder="1" applyAlignment="1">
      <alignment/>
    </xf>
    <xf numFmtId="167" fontId="1" fillId="0" borderId="0" xfId="44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67" fontId="6" fillId="0" borderId="0" xfId="44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44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wrapText="1"/>
    </xf>
    <xf numFmtId="43" fontId="6" fillId="0" borderId="0" xfId="42" applyFont="1" applyFill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44" applyFont="1" applyFill="1" applyAlignment="1">
      <alignment/>
    </xf>
    <xf numFmtId="44" fontId="0" fillId="33" borderId="0" xfId="44" applyFon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43" fontId="0" fillId="0" borderId="0" xfId="42" applyFont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43" fontId="0" fillId="0" borderId="0" xfId="42" applyFont="1" applyAlignment="1">
      <alignment horizontal="center"/>
    </xf>
    <xf numFmtId="44" fontId="0" fillId="0" borderId="0" xfId="44" applyFont="1" applyBorder="1" applyAlignment="1">
      <alignment/>
    </xf>
    <xf numFmtId="44" fontId="0" fillId="34" borderId="0" xfId="0" applyNumberFormat="1" applyFill="1" applyAlignment="1">
      <alignment/>
    </xf>
    <xf numFmtId="44" fontId="0" fillId="34" borderId="0" xfId="44" applyFont="1" applyFill="1" applyAlignment="1">
      <alignment/>
    </xf>
    <xf numFmtId="44" fontId="0" fillId="34" borderId="10" xfId="0" applyNumberFormat="1" applyFill="1" applyBorder="1" applyAlignment="1">
      <alignment/>
    </xf>
    <xf numFmtId="44" fontId="0" fillId="0" borderId="12" xfId="0" applyNumberFormat="1" applyFill="1" applyBorder="1" applyAlignment="1">
      <alignment/>
    </xf>
    <xf numFmtId="44" fontId="0" fillId="34" borderId="12" xfId="0" applyNumberFormat="1" applyFill="1" applyBorder="1" applyAlignment="1">
      <alignment/>
    </xf>
    <xf numFmtId="44" fontId="0" fillId="34" borderId="13" xfId="44" applyFont="1" applyFill="1" applyBorder="1" applyAlignment="1">
      <alignment/>
    </xf>
    <xf numFmtId="44" fontId="0" fillId="0" borderId="13" xfId="44" applyFont="1" applyFill="1" applyBorder="1" applyAlignment="1">
      <alignment/>
    </xf>
    <xf numFmtId="44" fontId="0" fillId="34" borderId="11" xfId="0" applyNumberFormat="1" applyFill="1" applyBorder="1" applyAlignment="1">
      <alignment/>
    </xf>
    <xf numFmtId="0" fontId="0" fillId="0" borderId="13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13" xfId="0" applyNumberFormat="1" applyFill="1" applyBorder="1" applyAlignment="1">
      <alignment/>
    </xf>
    <xf numFmtId="44" fontId="0" fillId="34" borderId="10" xfId="44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0" fillId="35" borderId="0" xfId="44" applyFont="1" applyFill="1" applyAlignment="1">
      <alignment/>
    </xf>
    <xf numFmtId="43" fontId="0" fillId="0" borderId="0" xfId="0" applyNumberFormat="1" applyAlignment="1">
      <alignment/>
    </xf>
    <xf numFmtId="43" fontId="0" fillId="0" borderId="0" xfId="42" applyFont="1" applyFill="1" applyAlignment="1">
      <alignment/>
    </xf>
    <xf numFmtId="44" fontId="0" fillId="36" borderId="0" xfId="44" applyFont="1" applyFill="1" applyAlignment="1">
      <alignment/>
    </xf>
    <xf numFmtId="43" fontId="0" fillId="0" borderId="0" xfId="42" applyFont="1" applyFill="1" applyAlignment="1">
      <alignment horizontal="center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4" fontId="0" fillId="36" borderId="0" xfId="0" applyNumberFormat="1" applyFill="1" applyAlignment="1">
      <alignment/>
    </xf>
    <xf numFmtId="44" fontId="0" fillId="0" borderId="13" xfId="0" applyNumberFormat="1" applyBorder="1" applyAlignment="1">
      <alignment/>
    </xf>
    <xf numFmtId="43" fontId="0" fillId="35" borderId="0" xfId="42" applyFont="1" applyFill="1" applyAlignment="1">
      <alignment/>
    </xf>
    <xf numFmtId="0" fontId="0" fillId="34" borderId="0" xfId="0" applyFill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3" fontId="5" fillId="0" borderId="0" xfId="42" applyFont="1" applyAlignment="1">
      <alignment/>
    </xf>
    <xf numFmtId="43" fontId="6" fillId="0" borderId="0" xfId="42" applyFont="1" applyAlignment="1">
      <alignment/>
    </xf>
    <xf numFmtId="43" fontId="6" fillId="0" borderId="12" xfId="42" applyFont="1" applyBorder="1" applyAlignment="1">
      <alignment/>
    </xf>
    <xf numFmtId="44" fontId="6" fillId="0" borderId="0" xfId="44" applyFont="1" applyFill="1" applyAlignment="1">
      <alignment/>
    </xf>
    <xf numFmtId="44" fontId="6" fillId="0" borderId="11" xfId="44" applyFont="1" applyFill="1" applyBorder="1" applyAlignment="1">
      <alignment/>
    </xf>
    <xf numFmtId="44" fontId="6" fillId="0" borderId="0" xfId="44" applyFont="1" applyAlignment="1">
      <alignment/>
    </xf>
    <xf numFmtId="44" fontId="6" fillId="0" borderId="11" xfId="44" applyFont="1" applyBorder="1" applyAlignment="1">
      <alignment/>
    </xf>
    <xf numFmtId="44" fontId="6" fillId="0" borderId="0" xfId="44" applyFont="1" applyBorder="1" applyAlignment="1">
      <alignment/>
    </xf>
    <xf numFmtId="39" fontId="6" fillId="0" borderId="0" xfId="42" applyNumberFormat="1" applyFont="1" applyFill="1" applyAlignment="1">
      <alignment/>
    </xf>
    <xf numFmtId="167" fontId="6" fillId="0" borderId="14" xfId="44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4" fontId="6" fillId="0" borderId="14" xfId="44" applyNumberFormat="1" applyFont="1" applyBorder="1" applyAlignment="1">
      <alignment/>
    </xf>
    <xf numFmtId="44" fontId="11" fillId="0" borderId="0" xfId="44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4" fontId="6" fillId="0" borderId="0" xfId="44" applyNumberFormat="1" applyFont="1" applyFill="1" applyAlignment="1">
      <alignment/>
    </xf>
    <xf numFmtId="4" fontId="6" fillId="0" borderId="0" xfId="42" applyNumberFormat="1" applyFont="1" applyFill="1" applyAlignment="1">
      <alignment/>
    </xf>
    <xf numFmtId="43" fontId="6" fillId="0" borderId="13" xfId="44" applyNumberFormat="1" applyFont="1" applyFill="1" applyBorder="1" applyAlignment="1">
      <alignment/>
    </xf>
    <xf numFmtId="0" fontId="6" fillId="0" borderId="0" xfId="0" applyFont="1" applyAlignment="1">
      <alignment vertical="top" wrapText="1"/>
    </xf>
    <xf numFmtId="43" fontId="6" fillId="0" borderId="0" xfId="44" applyNumberFormat="1" applyFont="1" applyFill="1" applyAlignment="1">
      <alignment/>
    </xf>
    <xf numFmtId="43" fontId="6" fillId="0" borderId="0" xfId="42" applyNumberFormat="1" applyFont="1" applyFill="1" applyAlignment="1">
      <alignment/>
    </xf>
    <xf numFmtId="43" fontId="6" fillId="0" borderId="0" xfId="44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6" fillId="0" borderId="0" xfId="57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0" xfId="57" applyNumberFormat="1" applyFont="1" applyAlignment="1">
      <alignment/>
    </xf>
    <xf numFmtId="44" fontId="6" fillId="0" borderId="0" xfId="44" applyNumberFormat="1" applyFont="1" applyFill="1" applyAlignment="1">
      <alignment/>
    </xf>
    <xf numFmtId="44" fontId="6" fillId="0" borderId="11" xfId="44" applyNumberFormat="1" applyFont="1" applyFill="1" applyBorder="1" applyAlignment="1">
      <alignment/>
    </xf>
    <xf numFmtId="44" fontId="6" fillId="0" borderId="0" xfId="44" applyNumberFormat="1" applyFont="1" applyAlignment="1">
      <alignment/>
    </xf>
    <xf numFmtId="44" fontId="6" fillId="0" borderId="0" xfId="44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44" fontId="6" fillId="0" borderId="0" xfId="44" applyNumberFormat="1" applyFont="1" applyFill="1" applyBorder="1" applyAlignment="1">
      <alignment/>
    </xf>
    <xf numFmtId="44" fontId="6" fillId="0" borderId="14" xfId="44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6" fillId="0" borderId="0" xfId="0" applyFont="1" applyFill="1" applyAlignment="1">
      <alignment horizontal="left" wrapText="1"/>
    </xf>
    <xf numFmtId="44" fontId="11" fillId="0" borderId="0" xfId="44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tabSelected="1" zoomScalePageLayoutView="0" workbookViewId="0" topLeftCell="A74">
      <selection activeCell="C95" sqref="C95"/>
    </sheetView>
  </sheetViews>
  <sheetFormatPr defaultColWidth="9.140625" defaultRowHeight="12.75"/>
  <cols>
    <col min="1" max="1" width="3.7109375" style="0" customWidth="1"/>
    <col min="3" max="3" width="33.57421875" style="0" customWidth="1"/>
    <col min="4" max="4" width="17.7109375" style="0" hidden="1" customWidth="1"/>
    <col min="5" max="5" width="16.7109375" style="0" customWidth="1"/>
    <col min="6" max="6" width="3.140625" style="0" customWidth="1"/>
    <col min="7" max="7" width="16.8515625" style="0" customWidth="1"/>
    <col min="8" max="8" width="1.7109375" style="0" customWidth="1"/>
    <col min="9" max="9" width="16.8515625" style="0" customWidth="1"/>
    <col min="10" max="10" width="1.7109375" style="0" customWidth="1"/>
    <col min="11" max="11" width="16.7109375" style="0" customWidth="1"/>
    <col min="12" max="12" width="1.7109375" style="0" customWidth="1"/>
    <col min="13" max="13" width="18.7109375" style="0" customWidth="1"/>
    <col min="14" max="14" width="1.7109375" style="0" customWidth="1"/>
    <col min="15" max="15" width="15.7109375" style="0" bestFit="1" customWidth="1"/>
  </cols>
  <sheetData>
    <row r="1" spans="3:4" s="69" customFormat="1" ht="19.5" hidden="1">
      <c r="C1" s="74"/>
      <c r="D1" s="74"/>
    </row>
    <row r="2" spans="3:4" s="70" customFormat="1" ht="19.5" hidden="1">
      <c r="C2" s="75"/>
      <c r="D2" s="75"/>
    </row>
    <row r="3" ht="12" hidden="1"/>
    <row r="4" spans="1:13" s="1" customFormat="1" ht="22.5" customHeight="1" hidden="1">
      <c r="A4" s="115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ht="12" hidden="1"/>
    <row r="6" spans="3:14" ht="18" hidden="1">
      <c r="C6" s="9"/>
      <c r="D6" s="9"/>
      <c r="E6" s="110" t="s">
        <v>38</v>
      </c>
      <c r="F6" s="110"/>
      <c r="G6" s="110"/>
      <c r="H6" s="110"/>
      <c r="I6" s="110"/>
      <c r="J6" s="110"/>
      <c r="K6" s="110"/>
      <c r="L6" s="3"/>
      <c r="M6" s="3" t="s">
        <v>43</v>
      </c>
      <c r="N6" s="3"/>
    </row>
    <row r="7" spans="4:14" s="2" customFormat="1" ht="15" hidden="1">
      <c r="D7" s="71">
        <v>1998</v>
      </c>
      <c r="E7" s="71">
        <v>2009</v>
      </c>
      <c r="F7" s="72"/>
      <c r="G7" s="71">
        <v>2010</v>
      </c>
      <c r="H7" s="72"/>
      <c r="I7" s="71">
        <v>2011</v>
      </c>
      <c r="J7" s="72"/>
      <c r="K7" s="71">
        <v>2012</v>
      </c>
      <c r="L7" s="3" t="s">
        <v>2</v>
      </c>
      <c r="M7" s="73" t="s">
        <v>44</v>
      </c>
      <c r="N7" s="3"/>
    </row>
    <row r="8" s="21" customFormat="1" ht="15" hidden="1">
      <c r="A8" s="20" t="s">
        <v>39</v>
      </c>
    </row>
    <row r="9" spans="2:14" s="21" customFormat="1" ht="15" hidden="1">
      <c r="B9" s="21" t="s">
        <v>20</v>
      </c>
      <c r="D9" s="22">
        <v>3183512</v>
      </c>
      <c r="E9" s="79">
        <v>5804516.56</v>
      </c>
      <c r="F9" s="79"/>
      <c r="G9" s="79">
        <v>4613138.84</v>
      </c>
      <c r="H9" s="79"/>
      <c r="I9" s="79">
        <v>5188343.51</v>
      </c>
      <c r="J9" s="79"/>
      <c r="K9" s="79">
        <v>3171435.81</v>
      </c>
      <c r="L9" s="79"/>
      <c r="M9" s="79">
        <v>2467836.31</v>
      </c>
      <c r="N9" s="79"/>
    </row>
    <row r="10" spans="4:14" s="21" customFormat="1" ht="15" hidden="1">
      <c r="D10" s="22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s="21" customFormat="1" ht="15" hidden="1">
      <c r="B11" s="21" t="s">
        <v>21</v>
      </c>
      <c r="D11" s="22"/>
      <c r="E11" s="84">
        <v>90083.58</v>
      </c>
      <c r="F11" s="84"/>
      <c r="G11" s="84">
        <v>61001.9</v>
      </c>
      <c r="H11" s="84"/>
      <c r="I11" s="84">
        <v>71929.72</v>
      </c>
      <c r="J11" s="84"/>
      <c r="K11" s="84">
        <v>94225.2</v>
      </c>
      <c r="L11" s="84"/>
      <c r="M11" s="84">
        <v>94348.43</v>
      </c>
      <c r="N11" s="84"/>
    </row>
    <row r="12" spans="4:14" s="21" customFormat="1" ht="15" hidden="1">
      <c r="D12" s="23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2:14" s="21" customFormat="1" ht="15" hidden="1">
      <c r="B13" s="21" t="s">
        <v>4</v>
      </c>
      <c r="D13" s="23">
        <v>1123227</v>
      </c>
      <c r="E13" s="84">
        <v>1657177.95</v>
      </c>
      <c r="F13" s="84"/>
      <c r="G13" s="84">
        <v>1333317.91</v>
      </c>
      <c r="H13" s="84"/>
      <c r="I13" s="84">
        <v>1070798.75</v>
      </c>
      <c r="J13" s="84"/>
      <c r="K13" s="84">
        <v>1146582.97</v>
      </c>
      <c r="L13" s="84"/>
      <c r="M13" s="84">
        <v>1004891.57</v>
      </c>
      <c r="N13" s="84"/>
    </row>
    <row r="14" spans="4:14" s="21" customFormat="1" ht="15" hidden="1">
      <c r="D14" s="23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2:14" s="21" customFormat="1" ht="15" hidden="1">
      <c r="B15" s="21" t="s">
        <v>1</v>
      </c>
      <c r="D15" s="23">
        <v>0</v>
      </c>
      <c r="E15" s="84">
        <v>322053.34</v>
      </c>
      <c r="F15" s="84"/>
      <c r="G15" s="84">
        <v>340155.79</v>
      </c>
      <c r="H15" s="84"/>
      <c r="I15" s="84">
        <v>219336.48</v>
      </c>
      <c r="J15" s="84"/>
      <c r="K15" s="84">
        <v>334283.74</v>
      </c>
      <c r="L15" s="84"/>
      <c r="M15" s="84">
        <v>166305.5</v>
      </c>
      <c r="N15" s="84"/>
    </row>
    <row r="16" spans="4:14" s="21" customFormat="1" ht="15" hidden="1">
      <c r="D16" s="23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2:14" s="21" customFormat="1" ht="15" hidden="1">
      <c r="B17" s="21" t="s">
        <v>0</v>
      </c>
      <c r="D17" s="23">
        <v>43061</v>
      </c>
      <c r="E17" s="84">
        <v>764230.75</v>
      </c>
      <c r="F17" s="84"/>
      <c r="G17" s="84">
        <f>53928.24+647879.13</f>
        <v>701807.37</v>
      </c>
      <c r="H17" s="84"/>
      <c r="I17" s="84">
        <v>1163253.96</v>
      </c>
      <c r="J17" s="84"/>
      <c r="K17" s="84">
        <v>1869178.45</v>
      </c>
      <c r="L17" s="84"/>
      <c r="M17" s="84">
        <v>1793664.97</v>
      </c>
      <c r="N17" s="84"/>
    </row>
    <row r="18" spans="4:14" s="21" customFormat="1" ht="15" hidden="1">
      <c r="D18" s="23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2:14" s="21" customFormat="1" ht="15" hidden="1">
      <c r="B19" s="21" t="s">
        <v>36</v>
      </c>
      <c r="D19" s="23"/>
      <c r="E19" s="84">
        <v>99121.27</v>
      </c>
      <c r="F19" s="84"/>
      <c r="G19" s="84">
        <v>32630.34</v>
      </c>
      <c r="H19" s="84"/>
      <c r="I19" s="84">
        <v>97980.74</v>
      </c>
      <c r="J19" s="84"/>
      <c r="K19" s="84">
        <v>134468.02</v>
      </c>
      <c r="L19" s="84"/>
      <c r="M19" s="84">
        <v>150283.64</v>
      </c>
      <c r="N19" s="84"/>
    </row>
    <row r="20" spans="4:14" s="21" customFormat="1" ht="15" hidden="1">
      <c r="D20" s="23"/>
      <c r="E20" s="84"/>
      <c r="F20" s="84"/>
      <c r="G20" s="84"/>
      <c r="H20" s="84"/>
      <c r="I20" s="84" t="s">
        <v>2</v>
      </c>
      <c r="J20" s="84"/>
      <c r="K20" s="84"/>
      <c r="L20" s="84"/>
      <c r="M20" s="84"/>
      <c r="N20" s="84"/>
    </row>
    <row r="21" spans="2:14" s="21" customFormat="1" ht="15" hidden="1">
      <c r="B21" s="21" t="s">
        <v>5</v>
      </c>
      <c r="D21" s="23">
        <v>0</v>
      </c>
      <c r="E21" s="84">
        <v>0</v>
      </c>
      <c r="F21" s="84"/>
      <c r="G21" s="84">
        <v>0</v>
      </c>
      <c r="H21" s="84"/>
      <c r="I21" s="84">
        <v>36679.31</v>
      </c>
      <c r="J21" s="84"/>
      <c r="K21" s="84">
        <v>420152.72</v>
      </c>
      <c r="L21" s="84"/>
      <c r="M21" s="84">
        <v>800402.36</v>
      </c>
      <c r="N21" s="84"/>
    </row>
    <row r="22" spans="1:14" s="21" customFormat="1" ht="15" hidden="1">
      <c r="A22" s="21" t="s">
        <v>2</v>
      </c>
      <c r="B22" s="21" t="s">
        <v>2</v>
      </c>
      <c r="D22" s="23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2:14" s="21" customFormat="1" ht="18.75" customHeight="1" hidden="1">
      <c r="B23" s="114" t="s">
        <v>37</v>
      </c>
      <c r="C23" s="114"/>
      <c r="D23" s="24">
        <v>261265</v>
      </c>
      <c r="E23" s="84">
        <v>409084.59</v>
      </c>
      <c r="F23" s="84"/>
      <c r="G23" s="84">
        <v>809182.69</v>
      </c>
      <c r="H23" s="84"/>
      <c r="I23" s="84">
        <v>1952857.94</v>
      </c>
      <c r="J23" s="84"/>
      <c r="K23" s="84">
        <v>3678184.02</v>
      </c>
      <c r="L23" s="84"/>
      <c r="M23" s="84">
        <v>1248757.82</v>
      </c>
      <c r="N23" s="84"/>
    </row>
    <row r="24" spans="1:14" s="77" customFormat="1" ht="15.75" hidden="1" thickBot="1">
      <c r="A24" s="76" t="s">
        <v>40</v>
      </c>
      <c r="D24" s="78">
        <f>SUM(D9:D23)</f>
        <v>4611065</v>
      </c>
      <c r="E24" s="80">
        <v>9329919.82</v>
      </c>
      <c r="F24" s="81"/>
      <c r="G24" s="82">
        <f>SUM(G9:G23)</f>
        <v>7891234.84</v>
      </c>
      <c r="H24" s="83"/>
      <c r="I24" s="82">
        <f>SUM(I9:I23)</f>
        <v>9801180.41</v>
      </c>
      <c r="J24" s="81"/>
      <c r="K24" s="82">
        <f>SUM(K9:K23)</f>
        <v>10848510.93</v>
      </c>
      <c r="L24" s="81"/>
      <c r="M24" s="82">
        <f>SUM(M9:M23)</f>
        <v>7726490.600000001</v>
      </c>
      <c r="N24" s="81"/>
    </row>
    <row r="25" spans="4:13" s="14" customFormat="1" ht="15.75" hidden="1" thickTop="1">
      <c r="D25" s="19"/>
      <c r="E25" s="19"/>
      <c r="F25" s="16"/>
      <c r="G25" s="19"/>
      <c r="H25" s="19"/>
      <c r="I25" s="19"/>
      <c r="K25" s="19"/>
      <c r="M25" s="19"/>
    </row>
    <row r="26" spans="1:15" s="14" customFormat="1" ht="18.75" hidden="1" thickBot="1">
      <c r="A26" s="13" t="s">
        <v>46</v>
      </c>
      <c r="D26" s="19"/>
      <c r="E26" s="85">
        <v>1791859.48</v>
      </c>
      <c r="F26" s="86" t="s">
        <v>45</v>
      </c>
      <c r="G26" s="85">
        <v>1169950.15</v>
      </c>
      <c r="H26" s="19"/>
      <c r="I26" s="85">
        <v>1470218.27</v>
      </c>
      <c r="J26" s="16"/>
      <c r="K26" s="85">
        <v>1627278.21</v>
      </c>
      <c r="L26" s="16"/>
      <c r="M26" s="85">
        <v>1158974.44</v>
      </c>
      <c r="N26" s="16"/>
      <c r="O26" s="16"/>
    </row>
    <row r="27" spans="1:15" s="14" customFormat="1" ht="15.75" hidden="1" thickTop="1">
      <c r="A27" s="13"/>
      <c r="D27" s="19"/>
      <c r="E27" s="19"/>
      <c r="F27" s="16"/>
      <c r="G27" s="19"/>
      <c r="H27" s="19"/>
      <c r="I27" s="19"/>
      <c r="J27" s="16"/>
      <c r="K27" s="19"/>
      <c r="L27" s="16"/>
      <c r="M27" s="19"/>
      <c r="N27" s="16"/>
      <c r="O27" s="16"/>
    </row>
    <row r="28" spans="3:4" s="15" customFormat="1" ht="15" hidden="1">
      <c r="C28" s="14"/>
      <c r="D28" s="14" t="s">
        <v>3</v>
      </c>
    </row>
    <row r="29" spans="1:13" s="15" customFormat="1" ht="36" customHeight="1" hidden="1">
      <c r="A29" s="112" t="s">
        <v>41</v>
      </c>
      <c r="B29" s="113"/>
      <c r="C29" s="111" t="s">
        <v>42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  <row r="30" spans="2:4" s="16" customFormat="1" ht="15" customHeight="1" hidden="1">
      <c r="B30" s="87" t="s">
        <v>47</v>
      </c>
      <c r="C30" s="16" t="s">
        <v>49</v>
      </c>
      <c r="D30" s="18"/>
    </row>
    <row r="31" spans="3:4" s="17" customFormat="1" ht="17.25" hidden="1">
      <c r="C31" s="11"/>
      <c r="D31" s="11"/>
    </row>
    <row r="32" spans="3:4" s="1" customFormat="1" ht="18" hidden="1">
      <c r="C32" s="12"/>
      <c r="D32" s="12"/>
    </row>
    <row r="33" s="1" customFormat="1" ht="12" hidden="1"/>
    <row r="34" spans="3:11" s="1" customFormat="1" ht="12.75" customHeight="1" hidden="1">
      <c r="C34" s="3"/>
      <c r="D34" s="3"/>
      <c r="E34" s="6"/>
      <c r="F34" s="6"/>
      <c r="G34" s="6"/>
      <c r="H34" s="6"/>
      <c r="I34" s="6"/>
      <c r="J34" s="4"/>
      <c r="K34" s="7"/>
    </row>
    <row r="35" spans="3:11" s="1" customFormat="1" ht="12.75" customHeight="1" hidden="1">
      <c r="C35" s="10"/>
      <c r="D35" s="10"/>
      <c r="E35" s="6"/>
      <c r="F35" s="6"/>
      <c r="G35" s="6"/>
      <c r="H35" s="6"/>
      <c r="I35" s="6"/>
      <c r="J35" s="4"/>
      <c r="K35" s="7"/>
    </row>
    <row r="36" spans="1:14" s="1" customFormat="1" ht="12.75" customHeight="1" hidden="1">
      <c r="A36"/>
      <c r="B36"/>
      <c r="C36" s="9"/>
      <c r="D36" s="9"/>
      <c r="E36" s="110" t="s">
        <v>38</v>
      </c>
      <c r="F36" s="110"/>
      <c r="G36" s="110"/>
      <c r="H36" s="110"/>
      <c r="I36" s="110"/>
      <c r="J36" s="110"/>
      <c r="K36" s="110"/>
      <c r="L36" s="3"/>
      <c r="M36" s="3" t="s">
        <v>43</v>
      </c>
      <c r="N36" s="3"/>
    </row>
    <row r="37" spans="1:14" s="1" customFormat="1" ht="12.75" customHeight="1" hidden="1">
      <c r="A37" s="2"/>
      <c r="B37" s="2"/>
      <c r="C37" s="2"/>
      <c r="D37" s="71">
        <v>1998</v>
      </c>
      <c r="E37" s="71">
        <v>2009</v>
      </c>
      <c r="F37" s="72"/>
      <c r="G37" s="71">
        <v>2010</v>
      </c>
      <c r="H37" s="72"/>
      <c r="I37" s="71"/>
      <c r="J37" s="72"/>
      <c r="K37" s="71"/>
      <c r="L37" s="3"/>
      <c r="M37" s="73"/>
      <c r="N37" s="3"/>
    </row>
    <row r="38" spans="1:14" s="1" customFormat="1" ht="12.75" customHeight="1" hidden="1">
      <c r="A38" s="20" t="s">
        <v>48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 hidden="1">
      <c r="A39" s="21"/>
      <c r="B39" s="21" t="s">
        <v>20</v>
      </c>
      <c r="C39" s="21"/>
      <c r="D39" s="22">
        <v>3183512</v>
      </c>
      <c r="E39" s="79">
        <v>-540654.08</v>
      </c>
      <c r="F39" s="79"/>
      <c r="G39" s="79">
        <f>-E39</f>
        <v>540654.08</v>
      </c>
      <c r="H39" s="79"/>
      <c r="I39" s="79"/>
      <c r="J39" s="79"/>
      <c r="K39" s="79"/>
      <c r="L39" s="79"/>
      <c r="M39" s="79"/>
      <c r="N39" s="79"/>
    </row>
    <row r="40" spans="1:14" s="1" customFormat="1" ht="12.75" customHeight="1" hidden="1">
      <c r="A40" s="21"/>
      <c r="B40" s="21"/>
      <c r="C40" s="21"/>
      <c r="D40" s="22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s="1" customFormat="1" ht="12.75" customHeight="1" hidden="1">
      <c r="A41" s="21"/>
      <c r="B41" s="21" t="s">
        <v>21</v>
      </c>
      <c r="C41" s="21"/>
      <c r="D41" s="22"/>
      <c r="E41" s="84">
        <v>-5181.88</v>
      </c>
      <c r="F41" s="84"/>
      <c r="G41" s="79">
        <f>-E41</f>
        <v>5181.88</v>
      </c>
      <c r="H41" s="84"/>
      <c r="I41" s="84"/>
      <c r="J41" s="84"/>
      <c r="K41" s="84"/>
      <c r="L41" s="84"/>
      <c r="M41" s="84"/>
      <c r="N41" s="84"/>
    </row>
    <row r="42" spans="1:14" s="1" customFormat="1" ht="12.75" customHeight="1" hidden="1">
      <c r="A42" s="21"/>
      <c r="B42" s="21"/>
      <c r="C42" s="21"/>
      <c r="D42" s="23"/>
      <c r="E42" s="84"/>
      <c r="F42" s="84"/>
      <c r="G42" s="84" t="s">
        <v>2</v>
      </c>
      <c r="H42" s="84"/>
      <c r="I42" s="84"/>
      <c r="J42" s="84"/>
      <c r="K42" s="84"/>
      <c r="L42" s="84"/>
      <c r="M42" s="84"/>
      <c r="N42" s="84"/>
    </row>
    <row r="43" spans="1:14" s="1" customFormat="1" ht="12.75" customHeight="1" hidden="1">
      <c r="A43" s="21"/>
      <c r="B43" s="21" t="s">
        <v>4</v>
      </c>
      <c r="C43" s="21"/>
      <c r="D43" s="23">
        <v>1123227</v>
      </c>
      <c r="E43" s="84">
        <v>-278749.59</v>
      </c>
      <c r="F43" s="84"/>
      <c r="G43" s="79">
        <f>-E43</f>
        <v>278749.59</v>
      </c>
      <c r="H43" s="84"/>
      <c r="I43" s="84"/>
      <c r="J43" s="84"/>
      <c r="K43" s="84"/>
      <c r="L43" s="84"/>
      <c r="M43" s="84"/>
      <c r="N43" s="84"/>
    </row>
    <row r="44" spans="1:14" s="1" customFormat="1" ht="12.75" customHeight="1" hidden="1">
      <c r="A44" s="21"/>
      <c r="B44" s="21"/>
      <c r="C44" s="21"/>
      <c r="D44" s="23"/>
      <c r="E44" s="84" t="s">
        <v>2</v>
      </c>
      <c r="F44" s="84"/>
      <c r="G44" s="84"/>
      <c r="H44" s="84"/>
      <c r="I44" s="84"/>
      <c r="J44" s="84"/>
      <c r="K44" s="84"/>
      <c r="L44" s="84"/>
      <c r="M44" s="84"/>
      <c r="N44" s="84"/>
    </row>
    <row r="45" spans="1:14" s="1" customFormat="1" ht="12.75" customHeight="1" hidden="1">
      <c r="A45" s="21"/>
      <c r="B45" s="21" t="s">
        <v>1</v>
      </c>
      <c r="C45" s="21"/>
      <c r="D45" s="23">
        <v>0</v>
      </c>
      <c r="E45" s="84">
        <v>-94717.95</v>
      </c>
      <c r="F45" s="84"/>
      <c r="G45" s="79">
        <f>-E45</f>
        <v>94717.95</v>
      </c>
      <c r="H45" s="84"/>
      <c r="I45" s="84"/>
      <c r="J45" s="84"/>
      <c r="K45" s="84"/>
      <c r="L45" s="84"/>
      <c r="M45" s="84"/>
      <c r="N45" s="84"/>
    </row>
    <row r="46" spans="1:14" s="1" customFormat="1" ht="12.75" customHeight="1" hidden="1">
      <c r="A46" s="21"/>
      <c r="B46" s="21"/>
      <c r="C46" s="21"/>
      <c r="D46" s="23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s="1" customFormat="1" ht="12.75" customHeight="1" hidden="1">
      <c r="A47" s="21"/>
      <c r="B47" s="21" t="s">
        <v>0</v>
      </c>
      <c r="C47" s="21"/>
      <c r="D47" s="23">
        <v>43061</v>
      </c>
      <c r="E47" s="84">
        <v>-71064.53</v>
      </c>
      <c r="F47" s="84"/>
      <c r="G47" s="79">
        <f>-E47</f>
        <v>71064.53</v>
      </c>
      <c r="H47" s="84"/>
      <c r="I47" s="84"/>
      <c r="J47" s="84"/>
      <c r="K47" s="84"/>
      <c r="L47" s="84"/>
      <c r="M47" s="84"/>
      <c r="N47" s="84"/>
    </row>
    <row r="48" spans="1:14" s="1" customFormat="1" ht="12.75" customHeight="1" hidden="1">
      <c r="A48" s="21"/>
      <c r="B48" s="21"/>
      <c r="C48" s="21"/>
      <c r="D48" s="23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s="1" customFormat="1" ht="15" hidden="1">
      <c r="A49" s="21"/>
      <c r="B49" s="21" t="s">
        <v>36</v>
      </c>
      <c r="C49" s="21"/>
      <c r="D49" s="23"/>
      <c r="E49" s="84">
        <v>-5182.1</v>
      </c>
      <c r="F49" s="84"/>
      <c r="G49" s="79">
        <f>-E49</f>
        <v>5182.1</v>
      </c>
      <c r="H49" s="84"/>
      <c r="I49" s="84"/>
      <c r="J49" s="84"/>
      <c r="K49" s="84"/>
      <c r="L49" s="84"/>
      <c r="M49" s="84"/>
      <c r="N49" s="84"/>
    </row>
    <row r="50" spans="1:14" s="1" customFormat="1" ht="15" hidden="1">
      <c r="A50" s="21"/>
      <c r="B50" s="21"/>
      <c r="C50" s="21"/>
      <c r="D50" s="23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s="1" customFormat="1" ht="15" hidden="1">
      <c r="A51" s="21"/>
      <c r="B51" s="21" t="s">
        <v>5</v>
      </c>
      <c r="C51" s="21"/>
      <c r="D51" s="23">
        <v>0</v>
      </c>
      <c r="E51" s="84">
        <v>0</v>
      </c>
      <c r="F51" s="84"/>
      <c r="G51" s="79">
        <f>-E51</f>
        <v>0</v>
      </c>
      <c r="H51" s="84"/>
      <c r="I51" s="84"/>
      <c r="J51" s="84"/>
      <c r="K51" s="84"/>
      <c r="L51" s="84"/>
      <c r="M51" s="84"/>
      <c r="N51" s="84"/>
    </row>
    <row r="52" spans="1:14" s="1" customFormat="1" ht="12.75" customHeight="1" hidden="1">
      <c r="A52" s="21" t="s">
        <v>2</v>
      </c>
      <c r="B52" s="21" t="s">
        <v>2</v>
      </c>
      <c r="C52" s="21"/>
      <c r="D52" s="23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1:14" s="1" customFormat="1" ht="12.75" customHeight="1" hidden="1">
      <c r="A53" s="21"/>
      <c r="B53" s="114" t="s">
        <v>37</v>
      </c>
      <c r="C53" s="114"/>
      <c r="D53" s="24">
        <v>261265</v>
      </c>
      <c r="E53" s="84">
        <v>-191945.79</v>
      </c>
      <c r="F53" s="84"/>
      <c r="G53" s="79">
        <f>-E53</f>
        <v>191945.79</v>
      </c>
      <c r="H53" s="84">
        <v>0</v>
      </c>
      <c r="I53" s="84"/>
      <c r="J53" s="84"/>
      <c r="K53" s="84"/>
      <c r="L53" s="84"/>
      <c r="M53" s="84"/>
      <c r="N53" s="84"/>
    </row>
    <row r="54" spans="1:14" s="1" customFormat="1" ht="19.5" customHeight="1" hidden="1" thickBot="1">
      <c r="A54" s="76" t="s">
        <v>40</v>
      </c>
      <c r="B54" s="77"/>
      <c r="C54" s="77"/>
      <c r="D54" s="78">
        <f>SUM(D39:D53)</f>
        <v>4611065</v>
      </c>
      <c r="E54" s="80">
        <f>SUM(E39:E53)</f>
        <v>-1187495.92</v>
      </c>
      <c r="F54" s="81"/>
      <c r="G54" s="80">
        <f>SUM(G39:G53)</f>
        <v>1187495.92</v>
      </c>
      <c r="H54" s="83"/>
      <c r="I54" s="82"/>
      <c r="J54" s="81"/>
      <c r="K54" s="82"/>
      <c r="L54" s="81"/>
      <c r="M54" s="82"/>
      <c r="N54" s="81"/>
    </row>
    <row r="55" spans="1:14" s="1" customFormat="1" ht="12.75" customHeight="1" hidden="1" thickTop="1">
      <c r="A55" s="14"/>
      <c r="B55" s="14"/>
      <c r="C55" s="14"/>
      <c r="D55" s="19"/>
      <c r="E55" s="19"/>
      <c r="F55" s="16"/>
      <c r="G55" s="19"/>
      <c r="H55" s="19"/>
      <c r="I55" s="19"/>
      <c r="J55" s="14"/>
      <c r="K55" s="19"/>
      <c r="L55" s="14"/>
      <c r="M55" s="19"/>
      <c r="N55" s="14"/>
    </row>
    <row r="56" spans="1:14" s="1" customFormat="1" ht="12.75" customHeight="1" hidden="1" thickBot="1">
      <c r="A56" s="13" t="s">
        <v>46</v>
      </c>
      <c r="B56" s="14"/>
      <c r="C56" s="14"/>
      <c r="D56" s="19"/>
      <c r="E56" s="88">
        <v>-172920.06</v>
      </c>
      <c r="F56" s="86" t="s">
        <v>2</v>
      </c>
      <c r="G56" s="88">
        <f>-E56</f>
        <v>172920.06</v>
      </c>
      <c r="H56" s="19"/>
      <c r="I56" s="85"/>
      <c r="J56" s="16"/>
      <c r="K56" s="85"/>
      <c r="L56" s="16"/>
      <c r="M56" s="85"/>
      <c r="N56" s="16"/>
    </row>
    <row r="57" spans="1:14" s="1" customFormat="1" ht="12.75" customHeight="1" hidden="1" thickTop="1">
      <c r="A57" s="13"/>
      <c r="B57" s="14"/>
      <c r="C57" s="14"/>
      <c r="D57" s="19"/>
      <c r="E57" s="19"/>
      <c r="F57" s="16"/>
      <c r="G57" s="19"/>
      <c r="H57" s="19"/>
      <c r="I57" s="19"/>
      <c r="J57" s="16"/>
      <c r="K57" s="19"/>
      <c r="L57" s="16"/>
      <c r="M57" s="19"/>
      <c r="N57" s="16"/>
    </row>
    <row r="58" spans="3:11" s="1" customFormat="1" ht="12.75" customHeight="1">
      <c r="C58" s="8"/>
      <c r="D58" s="8"/>
      <c r="E58" s="5"/>
      <c r="F58" s="6"/>
      <c r="G58" s="6"/>
      <c r="H58" s="6"/>
      <c r="I58" s="6"/>
      <c r="J58" s="4"/>
      <c r="K58" s="4"/>
    </row>
    <row r="59" spans="1:13" s="1" customFormat="1" ht="22.5" customHeight="1">
      <c r="A59" s="115" t="s">
        <v>60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1:14" s="1" customFormat="1" ht="1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3:11" s="1" customFormat="1" ht="12.75" customHeight="1">
      <c r="C61" s="8"/>
      <c r="D61" s="8"/>
      <c r="E61" s="5"/>
      <c r="F61" s="6"/>
      <c r="G61" s="6"/>
      <c r="H61" s="6"/>
      <c r="I61" s="6"/>
      <c r="J61" s="4"/>
      <c r="K61" s="4"/>
    </row>
    <row r="62" spans="3:14" ht="18">
      <c r="C62" s="9"/>
      <c r="D62" s="9"/>
      <c r="E62" s="110" t="s">
        <v>38</v>
      </c>
      <c r="F62" s="110"/>
      <c r="G62" s="110"/>
      <c r="H62" s="110"/>
      <c r="I62" s="110"/>
      <c r="J62" s="110"/>
      <c r="K62" s="110"/>
      <c r="L62" s="3"/>
      <c r="M62" s="3" t="s">
        <v>62</v>
      </c>
      <c r="N62" s="3"/>
    </row>
    <row r="63" spans="4:14" s="2" customFormat="1" ht="18">
      <c r="D63" s="71">
        <v>1998</v>
      </c>
      <c r="E63" s="71" t="s">
        <v>54</v>
      </c>
      <c r="F63" s="72"/>
      <c r="G63" s="71" t="s">
        <v>55</v>
      </c>
      <c r="H63" s="72"/>
      <c r="I63" s="71">
        <v>2011</v>
      </c>
      <c r="J63" s="72"/>
      <c r="K63" s="71">
        <v>2012</v>
      </c>
      <c r="L63" s="3" t="s">
        <v>2</v>
      </c>
      <c r="M63" s="73" t="s">
        <v>44</v>
      </c>
      <c r="N63" s="3"/>
    </row>
    <row r="64" s="21" customFormat="1" ht="15">
      <c r="A64" s="20" t="s">
        <v>39</v>
      </c>
    </row>
    <row r="65" spans="2:14" s="21" customFormat="1" ht="15">
      <c r="B65" s="21" t="s">
        <v>20</v>
      </c>
      <c r="D65" s="22">
        <v>3183512</v>
      </c>
      <c r="E65" s="102">
        <f>+E9+E39</f>
        <v>5263862.4799999995</v>
      </c>
      <c r="F65" s="102"/>
      <c r="G65" s="102">
        <f>+G9+G39</f>
        <v>5153792.92</v>
      </c>
      <c r="H65" s="102"/>
      <c r="I65" s="102">
        <f>+I9+I39</f>
        <v>5188343.51</v>
      </c>
      <c r="J65" s="102"/>
      <c r="K65" s="102">
        <f>+K9+K39</f>
        <v>3171435.81</v>
      </c>
      <c r="L65" s="102"/>
      <c r="M65" s="102">
        <f>+M9+M39</f>
        <v>2467836.31</v>
      </c>
      <c r="N65" s="79"/>
    </row>
    <row r="66" spans="4:14" s="21" customFormat="1" ht="15">
      <c r="D66" s="22"/>
      <c r="E66" s="96"/>
      <c r="F66" s="96"/>
      <c r="G66" s="96"/>
      <c r="H66" s="96"/>
      <c r="I66" s="96"/>
      <c r="J66" s="96"/>
      <c r="K66" s="96"/>
      <c r="L66" s="96"/>
      <c r="M66" s="96"/>
      <c r="N66" s="25"/>
    </row>
    <row r="67" spans="2:14" s="21" customFormat="1" ht="15">
      <c r="B67" s="21" t="s">
        <v>21</v>
      </c>
      <c r="D67" s="22"/>
      <c r="E67" s="95">
        <f>+E11+E41</f>
        <v>84901.7</v>
      </c>
      <c r="F67" s="95"/>
      <c r="G67" s="95">
        <f>+G11+G41</f>
        <v>66183.78</v>
      </c>
      <c r="H67" s="95"/>
      <c r="I67" s="95">
        <f>+I11+I41</f>
        <v>71929.72</v>
      </c>
      <c r="J67" s="95"/>
      <c r="K67" s="95">
        <f>+K11+K41</f>
        <v>94225.2</v>
      </c>
      <c r="L67" s="95"/>
      <c r="M67" s="95">
        <f>+M11+M41</f>
        <v>94348.43</v>
      </c>
      <c r="N67" s="91"/>
    </row>
    <row r="68" spans="4:14" s="21" customFormat="1" ht="15">
      <c r="D68" s="23"/>
      <c r="E68" s="96"/>
      <c r="F68" s="96"/>
      <c r="G68" s="96"/>
      <c r="H68" s="96"/>
      <c r="I68" s="96"/>
      <c r="J68" s="96"/>
      <c r="K68" s="96"/>
      <c r="L68" s="96"/>
      <c r="M68" s="96"/>
      <c r="N68" s="92"/>
    </row>
    <row r="69" spans="2:14" s="21" customFormat="1" ht="15">
      <c r="B69" s="21" t="s">
        <v>4</v>
      </c>
      <c r="D69" s="23">
        <v>1123227</v>
      </c>
      <c r="E69" s="95">
        <f>+E13+E43</f>
        <v>1378428.3599999999</v>
      </c>
      <c r="F69" s="95"/>
      <c r="G69" s="95">
        <f>+G13+G43</f>
        <v>1612067.5</v>
      </c>
      <c r="H69" s="95"/>
      <c r="I69" s="95">
        <f>+I13+I43</f>
        <v>1070798.75</v>
      </c>
      <c r="J69" s="95"/>
      <c r="K69" s="95">
        <f>+K13+K43</f>
        <v>1146582.97</v>
      </c>
      <c r="L69" s="95"/>
      <c r="M69" s="95">
        <f>+M13+M43</f>
        <v>1004891.57</v>
      </c>
      <c r="N69" s="91"/>
    </row>
    <row r="70" spans="4:14" s="21" customFormat="1" ht="15">
      <c r="D70" s="23"/>
      <c r="E70" s="96"/>
      <c r="F70" s="96"/>
      <c r="G70" s="96"/>
      <c r="H70" s="96"/>
      <c r="I70" s="96"/>
      <c r="J70" s="96"/>
      <c r="K70" s="96"/>
      <c r="L70" s="96"/>
      <c r="M70" s="96"/>
      <c r="N70" s="92"/>
    </row>
    <row r="71" spans="2:14" s="21" customFormat="1" ht="15">
      <c r="B71" s="21" t="s">
        <v>1</v>
      </c>
      <c r="D71" s="23">
        <v>0</v>
      </c>
      <c r="E71" s="95">
        <f>+E15+E45</f>
        <v>227335.39</v>
      </c>
      <c r="F71" s="95"/>
      <c r="G71" s="95">
        <f>+G15+G45</f>
        <v>434873.74</v>
      </c>
      <c r="H71" s="95"/>
      <c r="I71" s="95">
        <f>+I15+I45</f>
        <v>219336.48</v>
      </c>
      <c r="J71" s="95"/>
      <c r="K71" s="95">
        <f>+K15+K45</f>
        <v>334283.74</v>
      </c>
      <c r="L71" s="95"/>
      <c r="M71" s="95">
        <f>+M15+M45</f>
        <v>166305.5</v>
      </c>
      <c r="N71" s="91"/>
    </row>
    <row r="72" spans="4:14" s="21" customFormat="1" ht="15">
      <c r="D72" s="23"/>
      <c r="E72" s="96"/>
      <c r="F72" s="96"/>
      <c r="G72" s="96"/>
      <c r="H72" s="96"/>
      <c r="I72" s="96"/>
      <c r="J72" s="96"/>
      <c r="K72" s="96"/>
      <c r="L72" s="96"/>
      <c r="M72" s="96"/>
      <c r="N72" s="92"/>
    </row>
    <row r="73" spans="2:14" s="21" customFormat="1" ht="15">
      <c r="B73" s="21" t="s">
        <v>0</v>
      </c>
      <c r="D73" s="23">
        <v>43061</v>
      </c>
      <c r="E73" s="95">
        <f>+E17+E47</f>
        <v>693166.22</v>
      </c>
      <c r="F73" s="95"/>
      <c r="G73" s="95">
        <f>+G17+G47</f>
        <v>772871.9</v>
      </c>
      <c r="H73" s="95"/>
      <c r="I73" s="95">
        <f>+I17+I47</f>
        <v>1163253.96</v>
      </c>
      <c r="J73" s="95"/>
      <c r="K73" s="95">
        <f>+K17+K47</f>
        <v>1869178.45</v>
      </c>
      <c r="L73" s="95"/>
      <c r="M73" s="95">
        <f>+M17+M47</f>
        <v>1793664.97</v>
      </c>
      <c r="N73" s="91"/>
    </row>
    <row r="74" spans="4:14" s="21" customFormat="1" ht="15">
      <c r="D74" s="23"/>
      <c r="E74" s="96"/>
      <c r="F74" s="96"/>
      <c r="G74" s="96"/>
      <c r="H74" s="96"/>
      <c r="I74" s="96"/>
      <c r="J74" s="96"/>
      <c r="K74" s="96"/>
      <c r="L74" s="96"/>
      <c r="M74" s="96"/>
      <c r="N74" s="92"/>
    </row>
    <row r="75" spans="2:14" s="21" customFormat="1" ht="15">
      <c r="B75" s="21" t="s">
        <v>36</v>
      </c>
      <c r="D75" s="23"/>
      <c r="E75" s="95">
        <f>+E19+E49</f>
        <v>93939.17</v>
      </c>
      <c r="F75" s="95"/>
      <c r="G75" s="95">
        <f>+G19+G49</f>
        <v>37812.44</v>
      </c>
      <c r="H75" s="95"/>
      <c r="I75" s="95">
        <f>+I19+I49</f>
        <v>97980.74</v>
      </c>
      <c r="J75" s="95"/>
      <c r="K75" s="95">
        <f>+K19+K49</f>
        <v>134468.02</v>
      </c>
      <c r="L75" s="95"/>
      <c r="M75" s="95">
        <f>+M19+M49</f>
        <v>150283.64</v>
      </c>
      <c r="N75" s="91"/>
    </row>
    <row r="76" spans="4:14" s="21" customFormat="1" ht="15">
      <c r="D76" s="23"/>
      <c r="E76" s="96"/>
      <c r="F76" s="96"/>
      <c r="G76" s="96"/>
      <c r="H76" s="96"/>
      <c r="I76" s="96" t="s">
        <v>2</v>
      </c>
      <c r="J76" s="96"/>
      <c r="K76" s="96"/>
      <c r="L76" s="96"/>
      <c r="M76" s="96"/>
      <c r="N76" s="92"/>
    </row>
    <row r="77" spans="2:14" s="21" customFormat="1" ht="15">
      <c r="B77" s="21" t="s">
        <v>5</v>
      </c>
      <c r="D77" s="23">
        <v>0</v>
      </c>
      <c r="E77" s="95">
        <f>+E21+E51</f>
        <v>0</v>
      </c>
      <c r="F77" s="95"/>
      <c r="G77" s="95">
        <f>+G21+G51</f>
        <v>0</v>
      </c>
      <c r="H77" s="95"/>
      <c r="I77" s="95">
        <f>+I21+I51</f>
        <v>36679.31</v>
      </c>
      <c r="J77" s="95"/>
      <c r="K77" s="95">
        <f>+K21+K51</f>
        <v>420152.72</v>
      </c>
      <c r="L77" s="95"/>
      <c r="M77" s="95">
        <f>+M21+M51</f>
        <v>800402.36</v>
      </c>
      <c r="N77" s="91"/>
    </row>
    <row r="78" spans="1:14" s="21" customFormat="1" ht="15">
      <c r="A78" s="21" t="s">
        <v>2</v>
      </c>
      <c r="B78" s="21" t="s">
        <v>2</v>
      </c>
      <c r="D78" s="23"/>
      <c r="E78" s="96"/>
      <c r="F78" s="96"/>
      <c r="G78" s="96"/>
      <c r="H78" s="96"/>
      <c r="I78" s="96"/>
      <c r="J78" s="96"/>
      <c r="K78" s="96"/>
      <c r="L78" s="96"/>
      <c r="M78" s="96"/>
      <c r="N78" s="92"/>
    </row>
    <row r="79" spans="2:14" s="21" customFormat="1" ht="18.75" customHeight="1">
      <c r="B79" s="114" t="s">
        <v>37</v>
      </c>
      <c r="C79" s="114"/>
      <c r="D79" s="24">
        <v>261265</v>
      </c>
      <c r="E79" s="95">
        <f>+E23+E53</f>
        <v>217138.80000000002</v>
      </c>
      <c r="F79" s="95"/>
      <c r="G79" s="95">
        <f>+G23+G53</f>
        <v>1001128.48</v>
      </c>
      <c r="H79" s="95"/>
      <c r="I79" s="95">
        <f>+I23+I53</f>
        <v>1952857.94</v>
      </c>
      <c r="J79" s="95"/>
      <c r="K79" s="95">
        <f>+K23+K53</f>
        <v>3678184.02</v>
      </c>
      <c r="L79" s="95"/>
      <c r="M79" s="95">
        <f>+M23+M53</f>
        <v>1248757.82</v>
      </c>
      <c r="N79" s="91" t="s">
        <v>2</v>
      </c>
    </row>
    <row r="80" spans="1:15" s="77" customFormat="1" ht="15.75" thickBot="1">
      <c r="A80" s="76" t="s">
        <v>40</v>
      </c>
      <c r="D80" s="78">
        <f>SUM(D65:D79)</f>
        <v>4611065</v>
      </c>
      <c r="E80" s="103">
        <f>SUM(E65:E79)</f>
        <v>7958772.119999998</v>
      </c>
      <c r="F80" s="104"/>
      <c r="G80" s="103">
        <f>SUM(G65:G79)</f>
        <v>9078730.760000002</v>
      </c>
      <c r="H80" s="105"/>
      <c r="I80" s="103">
        <f>SUM(I65:I79)</f>
        <v>9801180.41</v>
      </c>
      <c r="J80" s="104"/>
      <c r="K80" s="103">
        <f>SUM(K65:K79)</f>
        <v>10848510.93</v>
      </c>
      <c r="L80" s="104"/>
      <c r="M80" s="103">
        <f>SUM(M65:M79)</f>
        <v>7726490.600000001</v>
      </c>
      <c r="N80" s="81"/>
      <c r="O80" s="77" t="s">
        <v>2</v>
      </c>
    </row>
    <row r="81" spans="4:13" s="14" customFormat="1" ht="15.75" thickTop="1">
      <c r="D81" s="19"/>
      <c r="E81" s="105"/>
      <c r="F81" s="106"/>
      <c r="G81" s="105"/>
      <c r="H81" s="105"/>
      <c r="I81" s="105"/>
      <c r="J81" s="107"/>
      <c r="K81" s="105"/>
      <c r="L81" s="107"/>
      <c r="M81" s="105"/>
    </row>
    <row r="82" spans="1:15" s="14" customFormat="1" ht="15">
      <c r="A82" s="13" t="s">
        <v>51</v>
      </c>
      <c r="D82" s="19"/>
      <c r="E82" s="107"/>
      <c r="F82" s="107"/>
      <c r="G82" s="107"/>
      <c r="H82" s="107"/>
      <c r="I82" s="107"/>
      <c r="J82" s="107"/>
      <c r="K82" s="107"/>
      <c r="L82" s="107"/>
      <c r="M82" s="107"/>
      <c r="O82" s="16"/>
    </row>
    <row r="83" spans="1:15" s="14" customFormat="1" ht="15">
      <c r="A83" s="13"/>
      <c r="B83" s="14" t="s">
        <v>52</v>
      </c>
      <c r="D83" s="19"/>
      <c r="E83" s="108">
        <f>+E85-E84</f>
        <v>1077906.92</v>
      </c>
      <c r="F83" s="102"/>
      <c r="G83" s="108">
        <v>1342870.21</v>
      </c>
      <c r="H83" s="102"/>
      <c r="I83" s="108">
        <v>1470218.27</v>
      </c>
      <c r="J83" s="102"/>
      <c r="K83" s="108">
        <v>1627278.21</v>
      </c>
      <c r="L83" s="102"/>
      <c r="M83" s="108">
        <v>1158974.44</v>
      </c>
      <c r="N83" s="79"/>
      <c r="O83" s="16"/>
    </row>
    <row r="84" spans="1:15" s="14" customFormat="1" ht="18">
      <c r="A84" s="13"/>
      <c r="B84" s="14" t="s">
        <v>56</v>
      </c>
      <c r="D84" s="19"/>
      <c r="E84" s="93">
        <v>541032.5</v>
      </c>
      <c r="F84" s="95"/>
      <c r="G84" s="93">
        <v>0</v>
      </c>
      <c r="H84" s="95"/>
      <c r="I84" s="93">
        <v>0</v>
      </c>
      <c r="J84" s="95"/>
      <c r="K84" s="93">
        <v>0</v>
      </c>
      <c r="L84" s="95"/>
      <c r="M84" s="93">
        <v>0</v>
      </c>
      <c r="N84" s="79"/>
      <c r="O84" s="16"/>
    </row>
    <row r="85" spans="1:15" s="14" customFormat="1" ht="15.75" thickBot="1">
      <c r="A85" s="13"/>
      <c r="B85" s="14" t="s">
        <v>53</v>
      </c>
      <c r="D85" s="19"/>
      <c r="E85" s="109">
        <v>1618939.42</v>
      </c>
      <c r="F85" s="102"/>
      <c r="G85" s="109">
        <f>+G83+G84</f>
        <v>1342870.21</v>
      </c>
      <c r="H85" s="102"/>
      <c r="I85" s="109">
        <f>+I83+I84</f>
        <v>1470218.27</v>
      </c>
      <c r="J85" s="102"/>
      <c r="K85" s="109">
        <f>+K83+K84</f>
        <v>1627278.21</v>
      </c>
      <c r="L85" s="102"/>
      <c r="M85" s="109">
        <f>+M83+M84</f>
        <v>1158974.44</v>
      </c>
      <c r="N85" s="79"/>
      <c r="O85" s="16"/>
    </row>
    <row r="86" spans="1:15" s="14" customFormat="1" ht="15.75" thickTop="1">
      <c r="A86" s="13"/>
      <c r="D86" s="19"/>
      <c r="E86" s="99" t="s">
        <v>2</v>
      </c>
      <c r="F86" s="98"/>
      <c r="G86" s="97"/>
      <c r="H86" s="97"/>
      <c r="I86" s="97"/>
      <c r="J86" s="98"/>
      <c r="K86" s="97"/>
      <c r="L86" s="98"/>
      <c r="M86" s="97"/>
      <c r="N86" s="16"/>
      <c r="O86" s="16"/>
    </row>
    <row r="87" spans="3:13" s="15" customFormat="1" ht="15">
      <c r="C87" s="14"/>
      <c r="D87" s="14" t="s">
        <v>3</v>
      </c>
      <c r="E87" s="100"/>
      <c r="F87" s="100"/>
      <c r="G87" s="101" t="s">
        <v>2</v>
      </c>
      <c r="H87" s="100"/>
      <c r="I87" s="100"/>
      <c r="J87" s="100"/>
      <c r="K87" s="100"/>
      <c r="L87" s="100"/>
      <c r="M87" s="100"/>
    </row>
    <row r="88" spans="1:13" s="15" customFormat="1" ht="36" customHeight="1">
      <c r="A88" s="112" t="s">
        <v>41</v>
      </c>
      <c r="B88" s="113"/>
      <c r="C88" s="111" t="s">
        <v>59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4" s="15" customFormat="1" ht="33.75" customHeight="1">
      <c r="A89" s="90"/>
      <c r="B89" s="90" t="s">
        <v>57</v>
      </c>
      <c r="C89" s="116" t="s">
        <v>61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94"/>
    </row>
    <row r="90" spans="2:4" s="16" customFormat="1" ht="15" customHeight="1">
      <c r="B90" s="90" t="s">
        <v>58</v>
      </c>
      <c r="C90" s="16" t="s">
        <v>63</v>
      </c>
      <c r="D90" s="18"/>
    </row>
    <row r="91" spans="3:4" s="17" customFormat="1" ht="17.25">
      <c r="C91" s="11"/>
      <c r="D91" s="11"/>
    </row>
    <row r="92" spans="5:11" s="1" customFormat="1" ht="12.75" customHeight="1">
      <c r="E92" s="5"/>
      <c r="F92" s="6"/>
      <c r="G92" s="6"/>
      <c r="H92" s="6"/>
      <c r="I92" s="6"/>
      <c r="J92" s="4"/>
      <c r="K92" s="7"/>
    </row>
    <row r="93" spans="5:11" s="1" customFormat="1" ht="12.75" customHeight="1">
      <c r="E93" s="5"/>
      <c r="F93" s="6"/>
      <c r="G93" s="6"/>
      <c r="H93" s="6"/>
      <c r="I93" s="6"/>
      <c r="J93" s="4"/>
      <c r="K93" s="7"/>
    </row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pans="5:14" ht="12.75" customHeight="1"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ht="12.75" customHeight="1">
      <c r="E102" s="1"/>
    </row>
    <row r="103" ht="12">
      <c r="E103" s="1"/>
    </row>
    <row r="104" ht="12">
      <c r="E104" s="1"/>
    </row>
    <row r="105" ht="12">
      <c r="E105" s="1"/>
    </row>
  </sheetData>
  <sheetProtection/>
  <mergeCells count="13">
    <mergeCell ref="C89:M89"/>
    <mergeCell ref="B53:C53"/>
    <mergeCell ref="E62:K62"/>
    <mergeCell ref="B79:C79"/>
    <mergeCell ref="A88:B88"/>
    <mergeCell ref="C88:M88"/>
    <mergeCell ref="A59:M59"/>
    <mergeCell ref="E6:K6"/>
    <mergeCell ref="C29:M29"/>
    <mergeCell ref="A29:B29"/>
    <mergeCell ref="B23:C23"/>
    <mergeCell ref="E36:K36"/>
    <mergeCell ref="A4:M4"/>
  </mergeCells>
  <printOptions/>
  <pageMargins left="0.17" right="0.17" top="1.23" bottom="1" header="0.46" footer="0.5"/>
  <pageSetup fitToHeight="1" fitToWidth="1" horizontalDpi="600" verticalDpi="600" orientation="landscape" scale="83" r:id="rId1"/>
  <ignoredErrors>
    <ignoredError sqref="F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06">
      <pane xSplit="2" ySplit="2" topLeftCell="C108" activePane="bottomRight" state="frozen"/>
      <selection pane="topLeft" activeCell="A106" sqref="A106"/>
      <selection pane="topRight" activeCell="C106" sqref="C106"/>
      <selection pane="bottomLeft" activeCell="A108" sqref="A108"/>
      <selection pane="bottomRight" activeCell="A136" sqref="A136"/>
    </sheetView>
  </sheetViews>
  <sheetFormatPr defaultColWidth="9.140625" defaultRowHeight="12.75"/>
  <cols>
    <col min="3" max="3" width="12.28125" style="0" bestFit="1" customWidth="1"/>
    <col min="4" max="4" width="14.140625" style="0" customWidth="1"/>
    <col min="5" max="5" width="15.00390625" style="0" customWidth="1"/>
    <col min="6" max="6" width="12.28125" style="0" bestFit="1" customWidth="1"/>
    <col min="7" max="7" width="13.8515625" style="0" customWidth="1"/>
    <col min="8" max="9" width="14.7109375" style="0" customWidth="1"/>
    <col min="10" max="10" width="14.28125" style="0" customWidth="1"/>
    <col min="11" max="11" width="13.7109375" style="0" customWidth="1"/>
    <col min="12" max="12" width="13.57421875" style="0" customWidth="1"/>
    <col min="13" max="13" width="13.7109375" style="0" customWidth="1"/>
    <col min="14" max="14" width="13.8515625" style="0" customWidth="1"/>
    <col min="15" max="15" width="15.00390625" style="0" customWidth="1"/>
    <col min="16" max="16" width="12.57421875" style="35" customWidth="1"/>
    <col min="17" max="18" width="11.28125" style="0" bestFit="1" customWidth="1"/>
  </cols>
  <sheetData>
    <row r="1" spans="3:15" ht="12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 t="s">
        <v>18</v>
      </c>
    </row>
    <row r="2" spans="3:15" ht="12">
      <c r="C2" s="26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  <c r="L2" s="26" t="s">
        <v>15</v>
      </c>
      <c r="M2" s="26" t="s">
        <v>16</v>
      </c>
      <c r="N2" s="26" t="s">
        <v>17</v>
      </c>
      <c r="O2" s="26" t="s">
        <v>19</v>
      </c>
    </row>
    <row r="3" spans="3:15" ht="12">
      <c r="C3" s="26">
        <v>2004</v>
      </c>
      <c r="D3" s="26">
        <v>2004</v>
      </c>
      <c r="E3" s="26">
        <v>2004</v>
      </c>
      <c r="F3" s="26">
        <v>2004</v>
      </c>
      <c r="G3" s="26">
        <v>2004</v>
      </c>
      <c r="H3" s="26">
        <v>2004</v>
      </c>
      <c r="I3" s="26">
        <v>2005</v>
      </c>
      <c r="J3" s="26">
        <v>2005</v>
      </c>
      <c r="K3" s="26">
        <v>2005</v>
      </c>
      <c r="L3" s="26">
        <v>2005</v>
      </c>
      <c r="M3" s="26">
        <v>2005</v>
      </c>
      <c r="N3" s="26">
        <v>2005</v>
      </c>
      <c r="O3" s="26">
        <v>2005</v>
      </c>
    </row>
    <row r="5" spans="1:15" ht="12">
      <c r="A5" t="s">
        <v>20</v>
      </c>
      <c r="C5" s="27">
        <v>226422.2</v>
      </c>
      <c r="D5" s="27">
        <v>445313.2</v>
      </c>
      <c r="E5" s="27">
        <v>418640.94</v>
      </c>
      <c r="F5" s="27">
        <v>346375.36</v>
      </c>
      <c r="G5" s="27">
        <v>541970.91</v>
      </c>
      <c r="H5" s="27">
        <f>424594.72-15016.03</f>
        <v>409578.68999999994</v>
      </c>
      <c r="I5" s="27">
        <f>226188.84-5783.54</f>
        <v>220405.3</v>
      </c>
      <c r="J5" s="27">
        <v>278497.26</v>
      </c>
      <c r="K5" s="27">
        <v>260491.19</v>
      </c>
      <c r="L5" s="27">
        <v>223613.89</v>
      </c>
      <c r="M5" s="27">
        <v>396755.59</v>
      </c>
      <c r="N5" s="27">
        <v>555331.75</v>
      </c>
      <c r="O5" s="27">
        <f>SUM(C5:N5)</f>
        <v>4323396.28</v>
      </c>
    </row>
    <row r="6" spans="1:15" ht="12">
      <c r="A6" t="s">
        <v>21</v>
      </c>
      <c r="C6" s="27">
        <v>2785.3</v>
      </c>
      <c r="D6" s="27">
        <v>4124.03</v>
      </c>
      <c r="E6" s="27">
        <v>3445.8</v>
      </c>
      <c r="F6" s="27">
        <v>3194.58</v>
      </c>
      <c r="G6" s="27">
        <v>3724.81</v>
      </c>
      <c r="H6" s="27">
        <v>3468.15</v>
      </c>
      <c r="I6" s="27">
        <v>2428.66</v>
      </c>
      <c r="J6" s="27">
        <v>2864.69</v>
      </c>
      <c r="K6" s="27">
        <v>5010.71</v>
      </c>
      <c r="L6" s="27">
        <v>3178.13</v>
      </c>
      <c r="M6" s="27">
        <v>4677.37</v>
      </c>
      <c r="N6" s="27">
        <v>17367.22</v>
      </c>
      <c r="O6" s="27">
        <f>SUM(C6:N6)</f>
        <v>56269.450000000004</v>
      </c>
    </row>
    <row r="7" spans="1:15" ht="12">
      <c r="A7" t="s">
        <v>22</v>
      </c>
      <c r="C7" s="28">
        <f>+C5+C6</f>
        <v>229207.5</v>
      </c>
      <c r="D7" s="28">
        <f>+D5+D6</f>
        <v>449437.23000000004</v>
      </c>
      <c r="E7" s="28">
        <f aca="true" t="shared" si="0" ref="E7:O7">+E5+E6</f>
        <v>422086.74</v>
      </c>
      <c r="F7" s="28">
        <f t="shared" si="0"/>
        <v>349569.94</v>
      </c>
      <c r="G7" s="28">
        <f t="shared" si="0"/>
        <v>545695.7200000001</v>
      </c>
      <c r="H7" s="28">
        <f t="shared" si="0"/>
        <v>413046.83999999997</v>
      </c>
      <c r="I7" s="28">
        <f t="shared" si="0"/>
        <v>222833.96</v>
      </c>
      <c r="J7" s="28">
        <f t="shared" si="0"/>
        <v>281361.95</v>
      </c>
      <c r="K7" s="28">
        <f t="shared" si="0"/>
        <v>265501.9</v>
      </c>
      <c r="L7" s="28">
        <f t="shared" si="0"/>
        <v>226792.02000000002</v>
      </c>
      <c r="M7" s="28">
        <f t="shared" si="0"/>
        <v>401432.96</v>
      </c>
      <c r="N7" s="28">
        <f t="shared" si="0"/>
        <v>572698.97</v>
      </c>
      <c r="O7" s="28">
        <f t="shared" si="0"/>
        <v>4379665.73</v>
      </c>
    </row>
    <row r="8" spans="3:15" ht="12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2">
      <c r="A9" t="s">
        <v>23</v>
      </c>
      <c r="C9" s="27">
        <v>267924.64</v>
      </c>
      <c r="D9" s="27">
        <v>141508.14</v>
      </c>
      <c r="E9" s="27">
        <v>55093.03</v>
      </c>
      <c r="F9" s="27">
        <v>64046.29</v>
      </c>
      <c r="G9" s="27">
        <v>81066.26</v>
      </c>
      <c r="H9" s="27">
        <v>184176.9</v>
      </c>
      <c r="I9" s="27">
        <v>94002.35</v>
      </c>
      <c r="J9" s="27">
        <v>282034.58</v>
      </c>
      <c r="K9" s="27">
        <v>181484.48</v>
      </c>
      <c r="L9" s="27">
        <v>81290.35</v>
      </c>
      <c r="M9" s="27">
        <v>94529.44</v>
      </c>
      <c r="N9" s="27">
        <v>140196.37</v>
      </c>
      <c r="O9" s="27">
        <f>SUM(C9:N9)</f>
        <v>1667352.83</v>
      </c>
    </row>
    <row r="10" spans="1:15" ht="12">
      <c r="A10" t="s">
        <v>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>
        <f>SUM(C10:N10)</f>
        <v>0</v>
      </c>
    </row>
    <row r="11" spans="1:15" ht="12">
      <c r="A11" t="s">
        <v>24</v>
      </c>
      <c r="C11" s="28">
        <f>+C9+C10</f>
        <v>267924.64</v>
      </c>
      <c r="D11" s="28">
        <f>+D9+D10</f>
        <v>141508.14</v>
      </c>
      <c r="E11" s="28">
        <f aca="true" t="shared" si="1" ref="E11:O11">+E9+E10</f>
        <v>55093.03</v>
      </c>
      <c r="F11" s="28">
        <f t="shared" si="1"/>
        <v>64046.29</v>
      </c>
      <c r="G11" s="28">
        <f t="shared" si="1"/>
        <v>81066.26</v>
      </c>
      <c r="H11" s="28">
        <f t="shared" si="1"/>
        <v>184176.9</v>
      </c>
      <c r="I11" s="28">
        <f t="shared" si="1"/>
        <v>94002.35</v>
      </c>
      <c r="J11" s="28">
        <f t="shared" si="1"/>
        <v>282034.58</v>
      </c>
      <c r="K11" s="28">
        <f t="shared" si="1"/>
        <v>181484.48</v>
      </c>
      <c r="L11" s="28">
        <f t="shared" si="1"/>
        <v>81290.35</v>
      </c>
      <c r="M11" s="28">
        <f t="shared" si="1"/>
        <v>94529.44</v>
      </c>
      <c r="N11" s="28">
        <f t="shared" si="1"/>
        <v>140196.37</v>
      </c>
      <c r="O11" s="28">
        <f t="shared" si="1"/>
        <v>1667352.83</v>
      </c>
    </row>
    <row r="12" spans="3:15" ht="12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2">
      <c r="A13" t="s">
        <v>26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540170.47</v>
      </c>
      <c r="I13" s="27">
        <v>20162.3</v>
      </c>
      <c r="J13" s="27">
        <v>129299.28</v>
      </c>
      <c r="K13" s="27">
        <v>10654.75</v>
      </c>
      <c r="L13" s="27">
        <v>0</v>
      </c>
      <c r="M13" s="27">
        <v>97821.68</v>
      </c>
      <c r="N13" s="27"/>
      <c r="O13" s="27">
        <f>SUM(C13:N13)</f>
        <v>798108.48</v>
      </c>
    </row>
    <row r="14" spans="3:15" ht="12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">
      <c r="A15" t="s">
        <v>0</v>
      </c>
      <c r="C15" s="27">
        <v>61057.64</v>
      </c>
      <c r="D15" s="27">
        <v>75937.14</v>
      </c>
      <c r="E15" s="27">
        <v>15458.55</v>
      </c>
      <c r="F15" s="27">
        <v>66439.22</v>
      </c>
      <c r="G15" s="27">
        <v>80104.44</v>
      </c>
      <c r="H15" s="27">
        <v>57006.65</v>
      </c>
      <c r="I15" s="27">
        <v>22272.05</v>
      </c>
      <c r="J15" s="27">
        <v>213165.34</v>
      </c>
      <c r="K15" s="27">
        <v>34511.99</v>
      </c>
      <c r="L15" s="27">
        <v>49728.74</v>
      </c>
      <c r="M15" s="27">
        <v>100109.86</v>
      </c>
      <c r="N15" s="27">
        <v>47166.82</v>
      </c>
      <c r="O15" s="27">
        <f>SUM(C15:N15)</f>
        <v>822958.44</v>
      </c>
    </row>
    <row r="16" spans="3:15" ht="12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">
      <c r="A17" t="s">
        <v>27</v>
      </c>
      <c r="C17" s="27"/>
      <c r="D17" s="27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220.69</v>
      </c>
      <c r="K17" s="27">
        <v>0</v>
      </c>
      <c r="L17" s="27">
        <v>0</v>
      </c>
      <c r="M17" s="27">
        <v>0</v>
      </c>
      <c r="N17" s="27">
        <v>0</v>
      </c>
      <c r="O17" s="27">
        <f>SUM(C17:N17)</f>
        <v>220.69</v>
      </c>
    </row>
    <row r="18" spans="3:15" ht="12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">
      <c r="A19" t="s">
        <v>25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15016.03</v>
      </c>
      <c r="I19" s="32">
        <f>5783.54+66.4</f>
        <v>5849.94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f>SUM(C19:N19)</f>
        <v>20865.97</v>
      </c>
    </row>
    <row r="20" spans="3:15" ht="12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 thickBot="1">
      <c r="A21" t="s">
        <v>18</v>
      </c>
      <c r="C21" s="29">
        <f aca="true" t="shared" si="2" ref="C21:I21">+C19+C15+C11+C7+C13</f>
        <v>558189.78</v>
      </c>
      <c r="D21" s="29">
        <f t="shared" si="2"/>
        <v>666882.51</v>
      </c>
      <c r="E21" s="29">
        <f t="shared" si="2"/>
        <v>492638.32</v>
      </c>
      <c r="F21" s="29">
        <f t="shared" si="2"/>
        <v>480055.45</v>
      </c>
      <c r="G21" s="29">
        <f t="shared" si="2"/>
        <v>706866.4200000002</v>
      </c>
      <c r="H21" s="29">
        <f t="shared" si="2"/>
        <v>1209416.89</v>
      </c>
      <c r="I21" s="29">
        <f t="shared" si="2"/>
        <v>365120.6</v>
      </c>
      <c r="J21" s="29">
        <f aca="true" t="shared" si="3" ref="J21:O21">+J19+J15+J11+J7+J13+J17</f>
        <v>906081.8400000001</v>
      </c>
      <c r="K21" s="29">
        <f t="shared" si="3"/>
        <v>492153.12</v>
      </c>
      <c r="L21" s="29">
        <f t="shared" si="3"/>
        <v>357811.11</v>
      </c>
      <c r="M21" s="29">
        <f t="shared" si="3"/>
        <v>693893.94</v>
      </c>
      <c r="N21" s="29">
        <f t="shared" si="3"/>
        <v>760062.1599999999</v>
      </c>
      <c r="O21" s="29">
        <f t="shared" si="3"/>
        <v>7689172.1400000015</v>
      </c>
    </row>
    <row r="22" spans="3:16" ht="12.75" thickTop="1">
      <c r="C22" s="27"/>
      <c r="D22" s="27"/>
      <c r="P22" s="38" t="s">
        <v>29</v>
      </c>
    </row>
    <row r="23" spans="4:15" ht="12">
      <c r="D23" t="s">
        <v>20</v>
      </c>
      <c r="E23" s="30">
        <f>+C5+D5+E5</f>
        <v>1090376.34</v>
      </c>
      <c r="G23" t="s">
        <v>20</v>
      </c>
      <c r="H23" s="30">
        <f>+F5+G5+H5</f>
        <v>1297924.96</v>
      </c>
      <c r="I23" s="30" t="s">
        <v>2</v>
      </c>
      <c r="J23" t="s">
        <v>20</v>
      </c>
      <c r="K23" s="30">
        <f>+I5+J5+K5</f>
        <v>759393.75</v>
      </c>
      <c r="M23" t="s">
        <v>20</v>
      </c>
      <c r="N23" s="30">
        <f>+L5+M5+N5</f>
        <v>1175701.23</v>
      </c>
      <c r="O23" s="30">
        <f>+E23+H23+K23+N23</f>
        <v>4323396.279999999</v>
      </c>
    </row>
    <row r="24" spans="4:15" ht="12">
      <c r="D24" t="s">
        <v>21</v>
      </c>
      <c r="E24" s="30">
        <f>+C6+D6+E6</f>
        <v>10355.130000000001</v>
      </c>
      <c r="G24" t="s">
        <v>21</v>
      </c>
      <c r="H24" s="30">
        <f>+F6+G6+H6</f>
        <v>10387.539999999999</v>
      </c>
      <c r="I24" t="s">
        <v>2</v>
      </c>
      <c r="J24" t="s">
        <v>21</v>
      </c>
      <c r="K24" s="30">
        <f>+I6+J6+K6</f>
        <v>10304.060000000001</v>
      </c>
      <c r="M24" t="s">
        <v>21</v>
      </c>
      <c r="N24" s="30">
        <f>+L6+M6+N6</f>
        <v>25222.72</v>
      </c>
      <c r="O24" s="30">
        <f>+E24+H24+K24+N24</f>
        <v>56269.45</v>
      </c>
    </row>
    <row r="25" spans="4:15" ht="12">
      <c r="D25" t="s">
        <v>22</v>
      </c>
      <c r="E25" s="30">
        <f>+C7+D7+E7</f>
        <v>1100731.47</v>
      </c>
      <c r="G25" t="s">
        <v>22</v>
      </c>
      <c r="H25" s="30">
        <f>+F7+G7+H7</f>
        <v>1308312.5</v>
      </c>
      <c r="I25" s="30" t="s">
        <v>2</v>
      </c>
      <c r="J25" t="s">
        <v>22</v>
      </c>
      <c r="K25" s="30">
        <f>+I7+J7+K7</f>
        <v>769697.81</v>
      </c>
      <c r="L25" s="30" t="s">
        <v>2</v>
      </c>
      <c r="M25" s="36" t="s">
        <v>22</v>
      </c>
      <c r="N25" s="37">
        <f>+L7+M7+N7</f>
        <v>1200923.95</v>
      </c>
      <c r="O25" s="37">
        <f>+E25+H25+K25+N25</f>
        <v>4379665.7299999995</v>
      </c>
    </row>
    <row r="26" spans="4:15" ht="12">
      <c r="D26" t="s">
        <v>25</v>
      </c>
      <c r="E26" s="31">
        <v>0</v>
      </c>
      <c r="F26" s="33"/>
      <c r="G26" s="33" t="s">
        <v>25</v>
      </c>
      <c r="H26" s="31">
        <f>+H19</f>
        <v>15016.03</v>
      </c>
      <c r="I26" s="34"/>
      <c r="J26" s="33" t="s">
        <v>25</v>
      </c>
      <c r="K26" s="31">
        <f>5783.54</f>
        <v>5783.54</v>
      </c>
      <c r="L26" s="34"/>
      <c r="M26" s="36" t="s">
        <v>25</v>
      </c>
      <c r="N26" s="32">
        <v>0</v>
      </c>
      <c r="O26" s="37">
        <f>+E26+H26+K26+N26</f>
        <v>20799.57</v>
      </c>
    </row>
    <row r="27" spans="4:16" ht="12">
      <c r="D27" t="s">
        <v>28</v>
      </c>
      <c r="E27" s="34">
        <f>+E25+E26</f>
        <v>1100731.47</v>
      </c>
      <c r="F27" s="33"/>
      <c r="G27" s="33" t="s">
        <v>28</v>
      </c>
      <c r="H27" s="34">
        <f>+H25+H26</f>
        <v>1323328.53</v>
      </c>
      <c r="I27" s="34"/>
      <c r="J27" s="33" t="s">
        <v>28</v>
      </c>
      <c r="K27" s="34">
        <f>+K25+K26</f>
        <v>775481.3500000001</v>
      </c>
      <c r="L27" s="34"/>
      <c r="M27" s="33" t="s">
        <v>28</v>
      </c>
      <c r="N27" s="34">
        <f>+N25+N26</f>
        <v>1200923.95</v>
      </c>
      <c r="O27" s="30">
        <f>+E27+H27+K27+N27</f>
        <v>4400465.3</v>
      </c>
      <c r="P27" s="35">
        <v>4400465</v>
      </c>
    </row>
    <row r="28" spans="4:14" ht="12">
      <c r="D28" t="s">
        <v>2</v>
      </c>
      <c r="E28" s="34" t="s">
        <v>2</v>
      </c>
      <c r="F28" s="33"/>
      <c r="G28" s="33" t="s">
        <v>2</v>
      </c>
      <c r="H28" s="34" t="s">
        <v>2</v>
      </c>
      <c r="I28" s="33"/>
      <c r="J28" s="33" t="s">
        <v>2</v>
      </c>
      <c r="K28" s="34" t="s">
        <v>2</v>
      </c>
      <c r="L28" s="33"/>
      <c r="M28" s="33" t="s">
        <v>2</v>
      </c>
      <c r="N28" s="34" t="s">
        <v>2</v>
      </c>
    </row>
    <row r="29" spans="4:15" ht="12">
      <c r="D29" t="s">
        <v>23</v>
      </c>
      <c r="E29" s="34">
        <f>+C9+D9+E9</f>
        <v>464525.81000000006</v>
      </c>
      <c r="F29" s="33"/>
      <c r="G29" s="33" t="s">
        <v>23</v>
      </c>
      <c r="H29" s="34">
        <f>+F9+G9+H9</f>
        <v>329289.44999999995</v>
      </c>
      <c r="I29" s="33"/>
      <c r="J29" s="33" t="s">
        <v>23</v>
      </c>
      <c r="K29" s="34">
        <f>+I9+J9+K9</f>
        <v>557521.41</v>
      </c>
      <c r="L29" s="33"/>
      <c r="M29" s="33" t="s">
        <v>23</v>
      </c>
      <c r="N29" s="34">
        <f>+L9+M9+N9</f>
        <v>316016.16000000003</v>
      </c>
      <c r="O29" s="30">
        <f aca="true" t="shared" si="4" ref="O29:O41">+E29+H29+K29+N29</f>
        <v>1667352.83</v>
      </c>
    </row>
    <row r="30" spans="4:15" ht="12">
      <c r="D30" t="s">
        <v>1</v>
      </c>
      <c r="E30" s="34">
        <f>+C10+D10+E10</f>
        <v>0</v>
      </c>
      <c r="F30" s="33"/>
      <c r="G30" s="33" t="s">
        <v>1</v>
      </c>
      <c r="H30" s="34">
        <f>+F10+G10+H10</f>
        <v>0</v>
      </c>
      <c r="I30" s="33"/>
      <c r="J30" s="33" t="s">
        <v>1</v>
      </c>
      <c r="K30" s="34">
        <f>+I10+J10+K10</f>
        <v>0</v>
      </c>
      <c r="L30" s="33"/>
      <c r="M30" s="33" t="s">
        <v>1</v>
      </c>
      <c r="N30" s="34">
        <f>+L10+M10+N10</f>
        <v>0</v>
      </c>
      <c r="O30" s="30">
        <f t="shared" si="4"/>
        <v>0</v>
      </c>
    </row>
    <row r="31" spans="4:15" ht="12">
      <c r="D31" t="s">
        <v>24</v>
      </c>
      <c r="E31" s="34">
        <f>+C11+D11+E11</f>
        <v>464525.81000000006</v>
      </c>
      <c r="F31" s="33"/>
      <c r="G31" s="33" t="s">
        <v>24</v>
      </c>
      <c r="H31" s="34">
        <f>+F11+G11+H11</f>
        <v>329289.44999999995</v>
      </c>
      <c r="I31" s="33"/>
      <c r="J31" s="33" t="s">
        <v>24</v>
      </c>
      <c r="K31" s="34">
        <f>+I11+J11+K11</f>
        <v>557521.41</v>
      </c>
      <c r="L31" s="33"/>
      <c r="M31" s="36" t="s">
        <v>24</v>
      </c>
      <c r="N31" s="37">
        <f>+L11+M11+N11</f>
        <v>316016.16000000003</v>
      </c>
      <c r="O31" s="37">
        <f t="shared" si="4"/>
        <v>1667352.83</v>
      </c>
    </row>
    <row r="32" spans="4:15" ht="12">
      <c r="D32" t="s">
        <v>25</v>
      </c>
      <c r="E32" s="31">
        <v>0</v>
      </c>
      <c r="F32" s="33"/>
      <c r="G32" s="33" t="s">
        <v>25</v>
      </c>
      <c r="H32" s="31">
        <v>0</v>
      </c>
      <c r="I32" s="33"/>
      <c r="J32" s="33" t="s">
        <v>25</v>
      </c>
      <c r="K32" s="31">
        <v>66.4</v>
      </c>
      <c r="L32" s="33"/>
      <c r="M32" s="36" t="s">
        <v>25</v>
      </c>
      <c r="N32" s="32">
        <v>0</v>
      </c>
      <c r="O32" s="37">
        <f t="shared" si="4"/>
        <v>66.4</v>
      </c>
    </row>
    <row r="33" spans="4:16" ht="12">
      <c r="D33" t="s">
        <v>28</v>
      </c>
      <c r="E33" s="34">
        <f>+E31+E32</f>
        <v>464525.81000000006</v>
      </c>
      <c r="F33" s="33"/>
      <c r="G33" s="33" t="s">
        <v>28</v>
      </c>
      <c r="H33" s="34">
        <f>+H31+H32</f>
        <v>329289.44999999995</v>
      </c>
      <c r="I33" s="33"/>
      <c r="J33" s="33" t="s">
        <v>28</v>
      </c>
      <c r="K33" s="34">
        <f>+K31+K32</f>
        <v>557587.81</v>
      </c>
      <c r="L33" s="33"/>
      <c r="M33" s="33" t="s">
        <v>28</v>
      </c>
      <c r="N33" s="34">
        <f>+N31+N32</f>
        <v>316016.16000000003</v>
      </c>
      <c r="O33" s="30">
        <f t="shared" si="4"/>
        <v>1667419.23</v>
      </c>
      <c r="P33" s="35">
        <v>1667419</v>
      </c>
    </row>
    <row r="34" spans="5:14" ht="12">
      <c r="E34" s="34" t="s">
        <v>2</v>
      </c>
      <c r="F34" s="33"/>
      <c r="G34" s="33"/>
      <c r="H34" s="34" t="s">
        <v>2</v>
      </c>
      <c r="I34" s="33"/>
      <c r="J34" s="33"/>
      <c r="K34" s="34" t="s">
        <v>2</v>
      </c>
      <c r="L34" s="33"/>
      <c r="M34" s="33"/>
      <c r="N34" s="34" t="s">
        <v>2</v>
      </c>
    </row>
    <row r="35" spans="4:16" ht="12">
      <c r="D35" t="s">
        <v>26</v>
      </c>
      <c r="E35" s="30">
        <f>+C13+D13+E13</f>
        <v>0</v>
      </c>
      <c r="G35" t="s">
        <v>26</v>
      </c>
      <c r="H35" s="30">
        <f>+F13+G13+H13</f>
        <v>540170.47</v>
      </c>
      <c r="J35" t="s">
        <v>26</v>
      </c>
      <c r="K35" s="30">
        <f>+I13+J13+K13</f>
        <v>160116.33</v>
      </c>
      <c r="M35" t="s">
        <v>26</v>
      </c>
      <c r="N35" s="30">
        <f>+L13+M13+N13</f>
        <v>97821.68</v>
      </c>
      <c r="O35" s="30">
        <f t="shared" si="4"/>
        <v>798108.48</v>
      </c>
      <c r="P35" s="35">
        <v>798107</v>
      </c>
    </row>
    <row r="36" spans="5:14" ht="12">
      <c r="E36" s="30" t="s">
        <v>2</v>
      </c>
      <c r="H36" s="30" t="s">
        <v>2</v>
      </c>
      <c r="K36" s="30" t="s">
        <v>2</v>
      </c>
      <c r="N36" s="30" t="s">
        <v>2</v>
      </c>
    </row>
    <row r="37" spans="4:16" ht="12">
      <c r="D37" t="s">
        <v>0</v>
      </c>
      <c r="E37" s="30">
        <f>+C15+D15+E15</f>
        <v>152453.33</v>
      </c>
      <c r="G37" t="s">
        <v>0</v>
      </c>
      <c r="H37" s="30">
        <f>+F15+G15+H15</f>
        <v>203550.31</v>
      </c>
      <c r="J37" t="s">
        <v>0</v>
      </c>
      <c r="K37" s="30">
        <f>+I15+J15+K15</f>
        <v>269949.38</v>
      </c>
      <c r="M37" t="s">
        <v>0</v>
      </c>
      <c r="N37" s="30">
        <f>+L15+M15+N15</f>
        <v>197005.42</v>
      </c>
      <c r="O37" s="30">
        <f t="shared" si="4"/>
        <v>822958.4400000001</v>
      </c>
      <c r="P37" s="35">
        <v>822959</v>
      </c>
    </row>
    <row r="38" spans="5:14" ht="12">
      <c r="E38" s="30" t="s">
        <v>2</v>
      </c>
      <c r="H38" s="30" t="s">
        <v>2</v>
      </c>
      <c r="K38" s="30" t="s">
        <v>2</v>
      </c>
      <c r="N38" s="30" t="s">
        <v>2</v>
      </c>
    </row>
    <row r="39" spans="4:16" ht="12">
      <c r="D39" t="s">
        <v>27</v>
      </c>
      <c r="E39" s="30">
        <f>+C17+D17+E17</f>
        <v>0</v>
      </c>
      <c r="G39" t="s">
        <v>27</v>
      </c>
      <c r="H39" s="30">
        <f>+F17+G17+H17</f>
        <v>0</v>
      </c>
      <c r="J39" t="s">
        <v>27</v>
      </c>
      <c r="K39" s="30">
        <f>+I17+J17+K17</f>
        <v>220.69</v>
      </c>
      <c r="M39" t="s">
        <v>27</v>
      </c>
      <c r="N39" s="30">
        <f>+L17+M17+N17</f>
        <v>0</v>
      </c>
      <c r="O39" s="30">
        <f t="shared" si="4"/>
        <v>220.69</v>
      </c>
      <c r="P39" s="35">
        <v>221</v>
      </c>
    </row>
    <row r="40" spans="5:14" ht="12">
      <c r="E40" s="30" t="s">
        <v>2</v>
      </c>
      <c r="H40" s="30" t="s">
        <v>2</v>
      </c>
      <c r="K40" s="30" t="s">
        <v>2</v>
      </c>
      <c r="N40" s="30" t="s">
        <v>2</v>
      </c>
    </row>
    <row r="41" spans="4:15" ht="12">
      <c r="D41" t="s">
        <v>25</v>
      </c>
      <c r="E41" s="30">
        <f>+C19+D19+E19</f>
        <v>0</v>
      </c>
      <c r="G41" t="s">
        <v>25</v>
      </c>
      <c r="H41" s="30">
        <v>0</v>
      </c>
      <c r="J41" t="s">
        <v>25</v>
      </c>
      <c r="K41" s="30">
        <v>0</v>
      </c>
      <c r="M41" t="s">
        <v>25</v>
      </c>
      <c r="N41" s="30">
        <v>0</v>
      </c>
      <c r="O41" s="30">
        <f t="shared" si="4"/>
        <v>0</v>
      </c>
    </row>
    <row r="42" ht="12">
      <c r="K42" s="30" t="s">
        <v>2</v>
      </c>
    </row>
    <row r="43" spans="4:15" ht="12">
      <c r="D43" t="s">
        <v>18</v>
      </c>
      <c r="E43" s="30">
        <f>+C21+D21+E21</f>
        <v>1717710.61</v>
      </c>
      <c r="G43" t="s">
        <v>18</v>
      </c>
      <c r="H43" s="30">
        <f>+F21+G21+H21</f>
        <v>2396338.76</v>
      </c>
      <c r="J43" t="s">
        <v>18</v>
      </c>
      <c r="K43" s="30">
        <f>+I21+J21+K21</f>
        <v>1763355.56</v>
      </c>
      <c r="M43" t="s">
        <v>18</v>
      </c>
      <c r="N43" s="30">
        <f>+L21+M21+N21</f>
        <v>1811767.2099999997</v>
      </c>
      <c r="O43" s="30">
        <f>+M21+N21+O21</f>
        <v>9143128.240000002</v>
      </c>
    </row>
    <row r="44" ht="12">
      <c r="K44" s="30" t="s">
        <v>2</v>
      </c>
    </row>
    <row r="48" spans="3:15" ht="1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 t="s">
        <v>18</v>
      </c>
    </row>
    <row r="49" spans="3:15" ht="12">
      <c r="C49" s="26" t="s">
        <v>6</v>
      </c>
      <c r="D49" s="26" t="s">
        <v>7</v>
      </c>
      <c r="E49" s="26" t="s">
        <v>8</v>
      </c>
      <c r="F49" s="26" t="s">
        <v>9</v>
      </c>
      <c r="G49" s="26" t="s">
        <v>10</v>
      </c>
      <c r="H49" s="26" t="s">
        <v>11</v>
      </c>
      <c r="I49" s="26" t="s">
        <v>12</v>
      </c>
      <c r="J49" s="26" t="s">
        <v>13</v>
      </c>
      <c r="K49" s="26" t="s">
        <v>14</v>
      </c>
      <c r="L49" s="26" t="s">
        <v>15</v>
      </c>
      <c r="M49" s="26" t="s">
        <v>16</v>
      </c>
      <c r="N49" s="26" t="s">
        <v>17</v>
      </c>
      <c r="O49" s="26" t="s">
        <v>19</v>
      </c>
    </row>
    <row r="50" spans="3:15" ht="12">
      <c r="C50" s="26">
        <v>2005</v>
      </c>
      <c r="D50" s="26">
        <v>2005</v>
      </c>
      <c r="E50" s="26">
        <v>2005</v>
      </c>
      <c r="F50" s="26">
        <v>2005</v>
      </c>
      <c r="G50" s="26">
        <v>2005</v>
      </c>
      <c r="H50" s="26">
        <v>2005</v>
      </c>
      <c r="I50" s="26">
        <v>2006</v>
      </c>
      <c r="J50" s="26">
        <v>2006</v>
      </c>
      <c r="K50" s="26">
        <v>2006</v>
      </c>
      <c r="L50" s="26">
        <v>2006</v>
      </c>
      <c r="M50" s="26">
        <v>2006</v>
      </c>
      <c r="N50" s="26">
        <v>2006</v>
      </c>
      <c r="O50" s="26">
        <v>2006</v>
      </c>
    </row>
    <row r="52" spans="1:16" ht="12">
      <c r="A52" t="s">
        <v>20</v>
      </c>
      <c r="C52" s="27">
        <v>144716.61</v>
      </c>
      <c r="D52" s="27">
        <f>519284-2223.75</f>
        <v>517060.25</v>
      </c>
      <c r="E52" s="27">
        <v>509785.62</v>
      </c>
      <c r="F52" s="27">
        <v>547741.69</v>
      </c>
      <c r="G52" s="27">
        <f>382469.27-15016.03</f>
        <v>367453.24</v>
      </c>
      <c r="H52" s="27">
        <v>811698.74</v>
      </c>
      <c r="I52" s="27">
        <v>110683.05</v>
      </c>
      <c r="J52" s="27">
        <f>589945.67-3357.53</f>
        <v>586588.14</v>
      </c>
      <c r="K52" s="27">
        <v>511542.6</v>
      </c>
      <c r="L52" s="27">
        <v>498931.83</v>
      </c>
      <c r="M52" s="27">
        <f>1855320.24-3664.44</f>
        <v>1851655.8</v>
      </c>
      <c r="N52" s="27">
        <v>186197.76</v>
      </c>
      <c r="O52" s="56">
        <f>SUM(C52:N52)</f>
        <v>6644055.329999999</v>
      </c>
      <c r="P52" s="65" t="s">
        <v>34</v>
      </c>
    </row>
    <row r="53" spans="1:16" ht="12">
      <c r="A53" t="s">
        <v>21</v>
      </c>
      <c r="C53" s="27">
        <v>2309.72</v>
      </c>
      <c r="D53" s="27">
        <v>3721.79</v>
      </c>
      <c r="E53" s="27">
        <v>2433.56</v>
      </c>
      <c r="F53" s="27">
        <f>2992.9-300</f>
        <v>2692.9</v>
      </c>
      <c r="G53" s="27">
        <v>416.04</v>
      </c>
      <c r="H53" s="27">
        <v>5514.11</v>
      </c>
      <c r="I53" s="27">
        <v>2692.97</v>
      </c>
      <c r="J53" s="27">
        <v>8722.7</v>
      </c>
      <c r="K53" s="27">
        <v>4913.99</v>
      </c>
      <c r="L53" s="27">
        <v>4803.99</v>
      </c>
      <c r="M53" s="27">
        <v>4410.89</v>
      </c>
      <c r="N53" s="27">
        <f>3850.37-84.08</f>
        <v>3766.29</v>
      </c>
      <c r="O53" s="56">
        <f>SUM(C53:N53)</f>
        <v>46398.95</v>
      </c>
      <c r="P53" s="35" t="s">
        <v>2</v>
      </c>
    </row>
    <row r="54" spans="1:15" ht="12">
      <c r="A54" t="s">
        <v>22</v>
      </c>
      <c r="C54" s="28">
        <f>+C52+C53</f>
        <v>147026.33</v>
      </c>
      <c r="D54" s="28">
        <f aca="true" t="shared" si="5" ref="D54:N54">+D52+D53</f>
        <v>520782.04</v>
      </c>
      <c r="E54" s="28">
        <f t="shared" si="5"/>
        <v>512219.18</v>
      </c>
      <c r="F54" s="28">
        <f t="shared" si="5"/>
        <v>550434.59</v>
      </c>
      <c r="G54" s="28">
        <f t="shared" si="5"/>
        <v>367869.27999999997</v>
      </c>
      <c r="H54" s="28">
        <f t="shared" si="5"/>
        <v>817212.85</v>
      </c>
      <c r="I54" s="28">
        <f t="shared" si="5"/>
        <v>113376.02</v>
      </c>
      <c r="J54" s="28">
        <f t="shared" si="5"/>
        <v>595310.84</v>
      </c>
      <c r="K54" s="28">
        <f t="shared" si="5"/>
        <v>516456.58999999997</v>
      </c>
      <c r="L54" s="28">
        <f t="shared" si="5"/>
        <v>503735.82</v>
      </c>
      <c r="M54" s="28">
        <f t="shared" si="5"/>
        <v>1856066.69</v>
      </c>
      <c r="N54" s="28">
        <f t="shared" si="5"/>
        <v>189964.05000000002</v>
      </c>
      <c r="O54" s="28">
        <f>+O52+O53</f>
        <v>6690454.279999999</v>
      </c>
    </row>
    <row r="55" spans="3:15" ht="1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">
      <c r="A56" t="s">
        <v>23</v>
      </c>
      <c r="C56" s="27">
        <f>330564.83-27000</f>
        <v>303564.83</v>
      </c>
      <c r="D56" s="27">
        <v>77816.39</v>
      </c>
      <c r="E56" s="27">
        <v>63850.97</v>
      </c>
      <c r="F56" s="27">
        <f>362425.18-F57</f>
        <v>275829.43</v>
      </c>
      <c r="G56" s="27">
        <f>281803.11-G57</f>
        <v>213097.19999999998</v>
      </c>
      <c r="H56" s="27">
        <f>279393.52-H57</f>
        <v>146967.64</v>
      </c>
      <c r="I56" s="27">
        <v>282830.1</v>
      </c>
      <c r="J56" s="27">
        <f>509789.22-J57</f>
        <v>370165.56999999995</v>
      </c>
      <c r="K56" s="27">
        <v>156955.62</v>
      </c>
      <c r="L56" s="27">
        <f>193831.56-L57</f>
        <v>144212.68</v>
      </c>
      <c r="M56" s="27">
        <f>208612.87-M57</f>
        <v>60927.53</v>
      </c>
      <c r="N56" s="27">
        <f>281224.31-282.98-N57</f>
        <v>268608.11000000004</v>
      </c>
      <c r="O56" s="56">
        <f>SUM(C56:N56)</f>
        <v>2364826.07</v>
      </c>
    </row>
    <row r="57" spans="1:15" ht="12">
      <c r="A57" t="s">
        <v>1</v>
      </c>
      <c r="C57" s="27">
        <v>0</v>
      </c>
      <c r="D57" s="27">
        <v>0</v>
      </c>
      <c r="E57" s="27">
        <v>0</v>
      </c>
      <c r="F57" s="27">
        <v>86595.75</v>
      </c>
      <c r="G57" s="27">
        <v>68705.91</v>
      </c>
      <c r="H57" s="27">
        <v>132425.88</v>
      </c>
      <c r="I57" s="27">
        <v>0</v>
      </c>
      <c r="J57" s="27">
        <v>139623.65</v>
      </c>
      <c r="K57" s="27">
        <v>0</v>
      </c>
      <c r="L57" s="27">
        <v>49618.88</v>
      </c>
      <c r="M57" s="27">
        <v>147685.34</v>
      </c>
      <c r="N57" s="27">
        <v>12333.22</v>
      </c>
      <c r="O57" s="56">
        <f>SUM(C57:N57)</f>
        <v>636988.63</v>
      </c>
    </row>
    <row r="58" spans="1:15" ht="12">
      <c r="A58" t="s">
        <v>24</v>
      </c>
      <c r="C58" s="28">
        <f>+C56+C57</f>
        <v>303564.83</v>
      </c>
      <c r="D58" s="28">
        <f aca="true" t="shared" si="6" ref="D58:N58">+D56+D57</f>
        <v>77816.39</v>
      </c>
      <c r="E58" s="28">
        <f t="shared" si="6"/>
        <v>63850.97</v>
      </c>
      <c r="F58" s="28">
        <f t="shared" si="6"/>
        <v>362425.18</v>
      </c>
      <c r="G58" s="28">
        <f t="shared" si="6"/>
        <v>281803.11</v>
      </c>
      <c r="H58" s="28">
        <f t="shared" si="6"/>
        <v>279393.52</v>
      </c>
      <c r="I58" s="28">
        <f t="shared" si="6"/>
        <v>282830.1</v>
      </c>
      <c r="J58" s="28">
        <f t="shared" si="6"/>
        <v>509789.22</v>
      </c>
      <c r="K58" s="28">
        <f t="shared" si="6"/>
        <v>156955.62</v>
      </c>
      <c r="L58" s="28">
        <f t="shared" si="6"/>
        <v>193831.56</v>
      </c>
      <c r="M58" s="28">
        <f t="shared" si="6"/>
        <v>208612.87</v>
      </c>
      <c r="N58" s="28">
        <f t="shared" si="6"/>
        <v>280941.33</v>
      </c>
      <c r="O58" s="28">
        <f>+O56+O57</f>
        <v>3001814.6999999997</v>
      </c>
    </row>
    <row r="59" spans="3:15" ht="12">
      <c r="C59" s="27"/>
      <c r="D59" s="27"/>
      <c r="E59" s="27"/>
      <c r="F59" s="27"/>
      <c r="G59" s="27"/>
      <c r="H59" s="27"/>
      <c r="I59" s="27"/>
      <c r="J59" s="31"/>
      <c r="K59" s="27"/>
      <c r="L59" s="31" t="s">
        <v>2</v>
      </c>
      <c r="M59" s="31"/>
      <c r="N59" s="31"/>
      <c r="O59" s="27"/>
    </row>
    <row r="60" spans="1:18" ht="12">
      <c r="A60" t="s">
        <v>26</v>
      </c>
      <c r="C60" s="27">
        <v>65522.61</v>
      </c>
      <c r="D60" s="27">
        <v>77318.38</v>
      </c>
      <c r="E60" s="27">
        <v>1029226.78</v>
      </c>
      <c r="F60" s="27">
        <v>36870.15</v>
      </c>
      <c r="G60" s="27">
        <v>1433.55</v>
      </c>
      <c r="H60" s="27">
        <v>185428.94</v>
      </c>
      <c r="I60" s="27">
        <v>969128.32</v>
      </c>
      <c r="J60" s="31">
        <v>87962.95</v>
      </c>
      <c r="K60" s="27">
        <v>90539.01</v>
      </c>
      <c r="L60" s="31">
        <v>419606.24</v>
      </c>
      <c r="M60" s="31">
        <f>106373.81-68785.13</f>
        <v>37588.67999999999</v>
      </c>
      <c r="N60" s="31">
        <v>186689.71</v>
      </c>
      <c r="O60" s="56">
        <f>SUM(C60:N60)</f>
        <v>3187315.32</v>
      </c>
      <c r="P60" s="58"/>
      <c r="Q60" s="57"/>
      <c r="R60" s="30"/>
    </row>
    <row r="61" spans="3:16" ht="1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58"/>
    </row>
    <row r="62" spans="1:17" ht="12">
      <c r="A62" t="s">
        <v>0</v>
      </c>
      <c r="C62" s="27">
        <v>18361.95</v>
      </c>
      <c r="D62" s="27">
        <v>63029.15</v>
      </c>
      <c r="E62" s="27">
        <v>11925.61</v>
      </c>
      <c r="F62" s="27">
        <v>15697.5</v>
      </c>
      <c r="G62" s="27">
        <v>3124.06</v>
      </c>
      <c r="H62" s="27">
        <v>19756.08</v>
      </c>
      <c r="I62" s="27">
        <v>10755.81</v>
      </c>
      <c r="J62" s="27">
        <v>18117.27</v>
      </c>
      <c r="K62" s="27">
        <v>113541.03</v>
      </c>
      <c r="L62" s="27">
        <v>261644.72</v>
      </c>
      <c r="M62" s="27">
        <v>99103.16</v>
      </c>
      <c r="N62" s="27">
        <v>68266.32</v>
      </c>
      <c r="O62" s="56">
        <f>SUM(C62:N62)</f>
        <v>703322.6599999999</v>
      </c>
      <c r="P62" s="58"/>
      <c r="Q62" s="57"/>
    </row>
    <row r="63" spans="3:16" ht="1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58"/>
    </row>
    <row r="64" spans="1:16" ht="12">
      <c r="A64" t="s">
        <v>27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311.5</v>
      </c>
      <c r="J64" s="27">
        <v>1196.08</v>
      </c>
      <c r="K64" s="27">
        <v>0</v>
      </c>
      <c r="L64" s="27">
        <v>0</v>
      </c>
      <c r="M64" s="27">
        <v>0</v>
      </c>
      <c r="N64" s="27">
        <v>0</v>
      </c>
      <c r="O64" s="56">
        <f>SUM(C64:N64)</f>
        <v>1507.58</v>
      </c>
      <c r="P64" s="58"/>
    </row>
    <row r="65" spans="3:16" ht="1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58"/>
    </row>
    <row r="66" spans="1:17" ht="12">
      <c r="A66" t="s">
        <v>25</v>
      </c>
      <c r="C66" s="27">
        <v>27000</v>
      </c>
      <c r="D66" s="27">
        <v>2223.75</v>
      </c>
      <c r="E66" s="27">
        <v>0</v>
      </c>
      <c r="F66" s="27">
        <v>300</v>
      </c>
      <c r="G66" s="27">
        <v>15016.03</v>
      </c>
      <c r="H66" s="27">
        <v>0</v>
      </c>
      <c r="I66" s="27">
        <f>15404.61-I64</f>
        <v>15093.11</v>
      </c>
      <c r="J66" s="27">
        <v>3357.53</v>
      </c>
      <c r="K66" s="27">
        <v>0</v>
      </c>
      <c r="L66" s="27">
        <v>16077.43</v>
      </c>
      <c r="M66" s="27">
        <f>68785.13+3664.44</f>
        <v>72449.57</v>
      </c>
      <c r="N66" s="27">
        <f>84.08+282.98+43990.66</f>
        <v>44357.72</v>
      </c>
      <c r="O66" s="27">
        <f>SUM(C66:N66)</f>
        <v>195875.14</v>
      </c>
      <c r="P66" s="58"/>
      <c r="Q66" s="27"/>
    </row>
    <row r="67" spans="3:16" ht="1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58"/>
    </row>
    <row r="68" spans="1:16" ht="12.75" thickBot="1">
      <c r="A68" t="s">
        <v>18</v>
      </c>
      <c r="C68" s="29">
        <f>+C66+C62+C58+C54+C60</f>
        <v>561475.72</v>
      </c>
      <c r="D68" s="29">
        <f aca="true" t="shared" si="7" ref="D68:I68">+D66+D62+D58+D54+D60+D64</f>
        <v>741169.71</v>
      </c>
      <c r="E68" s="29">
        <f t="shared" si="7"/>
        <v>1617222.54</v>
      </c>
      <c r="F68" s="29">
        <f t="shared" si="7"/>
        <v>965727.42</v>
      </c>
      <c r="G68" s="29">
        <f t="shared" si="7"/>
        <v>669246.03</v>
      </c>
      <c r="H68" s="29">
        <f t="shared" si="7"/>
        <v>1301791.39</v>
      </c>
      <c r="I68" s="29">
        <f t="shared" si="7"/>
        <v>1391494.8599999999</v>
      </c>
      <c r="J68" s="29">
        <f aca="true" t="shared" si="8" ref="J68:O68">+J66+J62+J58+J54+J60+J64</f>
        <v>1215733.89</v>
      </c>
      <c r="K68" s="29">
        <f t="shared" si="8"/>
        <v>877492.25</v>
      </c>
      <c r="L68" s="29">
        <f t="shared" si="8"/>
        <v>1394895.77</v>
      </c>
      <c r="M68" s="29">
        <f t="shared" si="8"/>
        <v>2273820.97</v>
      </c>
      <c r="N68" s="29">
        <f t="shared" si="8"/>
        <v>770219.13</v>
      </c>
      <c r="O68" s="29">
        <f t="shared" si="8"/>
        <v>13780289.68</v>
      </c>
      <c r="P68" s="58"/>
    </row>
    <row r="69" spans="3:16" ht="12.75" thickTop="1">
      <c r="C69" s="39"/>
      <c r="D69" s="39" t="s">
        <v>30</v>
      </c>
      <c r="E69" s="39">
        <v>110406.5</v>
      </c>
      <c r="F69" s="39"/>
      <c r="G69" s="39" t="s">
        <v>30</v>
      </c>
      <c r="H69" s="39">
        <v>24186.64</v>
      </c>
      <c r="I69" s="39">
        <f>1391494.86-I68</f>
        <v>0</v>
      </c>
      <c r="J69" s="39" t="s">
        <v>30</v>
      </c>
      <c r="K69" s="39">
        <v>0</v>
      </c>
      <c r="L69" s="39"/>
      <c r="M69" s="39">
        <v>33205.66</v>
      </c>
      <c r="N69" s="39">
        <f>+M69</f>
        <v>33205.66</v>
      </c>
      <c r="O69" s="27">
        <f>SUM(C69:N69)</f>
        <v>201004.46000000002</v>
      </c>
      <c r="P69" s="58"/>
    </row>
    <row r="70" spans="3:16" ht="12.75" thickBot="1">
      <c r="C70" s="39"/>
      <c r="D70" s="39"/>
      <c r="E70" s="29">
        <f>+E68+E69</f>
        <v>1727629.04</v>
      </c>
      <c r="F70" s="39"/>
      <c r="G70" s="39"/>
      <c r="H70" s="29">
        <f>+H68+H69</f>
        <v>1325978.0299999998</v>
      </c>
      <c r="I70" s="39"/>
      <c r="J70" s="39" t="s">
        <v>2</v>
      </c>
      <c r="K70" s="29">
        <f>+K68+K69</f>
        <v>877492.25</v>
      </c>
      <c r="L70" s="39"/>
      <c r="M70" s="29">
        <f>+M68+M69</f>
        <v>2307026.6300000004</v>
      </c>
      <c r="N70" s="29">
        <f>+N68+N69</f>
        <v>803424.79</v>
      </c>
      <c r="O70" s="29">
        <f>+O68+O69</f>
        <v>13981294.14</v>
      </c>
      <c r="P70" s="58"/>
    </row>
    <row r="71" spans="3:16" ht="12.75" thickTop="1">
      <c r="C71" s="27"/>
      <c r="D71" s="27"/>
      <c r="P71" s="60" t="s">
        <v>29</v>
      </c>
    </row>
    <row r="72" spans="4:15" ht="12">
      <c r="D72" t="s">
        <v>20</v>
      </c>
      <c r="E72" s="30">
        <f>+C52+D52+E52</f>
        <v>1171562.48</v>
      </c>
      <c r="G72" t="s">
        <v>20</v>
      </c>
      <c r="H72" s="30">
        <f>+F52+G52+H52</f>
        <v>1726893.67</v>
      </c>
      <c r="I72" s="30" t="s">
        <v>2</v>
      </c>
      <c r="J72" t="s">
        <v>20</v>
      </c>
      <c r="K72" s="30">
        <f>+I52+J52+K52</f>
        <v>1208813.79</v>
      </c>
      <c r="M72" t="s">
        <v>20</v>
      </c>
      <c r="N72" s="30">
        <f>+L52+M52+N52</f>
        <v>2536785.3899999997</v>
      </c>
      <c r="O72" s="30">
        <f>+E72+H72+K72+N72</f>
        <v>6644055.33</v>
      </c>
    </row>
    <row r="73" spans="4:15" ht="12">
      <c r="D73" t="s">
        <v>21</v>
      </c>
      <c r="E73" s="30">
        <f>+C53+D53+E53</f>
        <v>8465.07</v>
      </c>
      <c r="G73" t="s">
        <v>21</v>
      </c>
      <c r="H73" s="30">
        <f>+F53+G53+H53</f>
        <v>8623.05</v>
      </c>
      <c r="I73" t="s">
        <v>2</v>
      </c>
      <c r="J73" t="s">
        <v>21</v>
      </c>
      <c r="K73" s="30">
        <f>+I53+J53+K53</f>
        <v>16329.66</v>
      </c>
      <c r="M73" t="s">
        <v>21</v>
      </c>
      <c r="N73" s="30">
        <f>+L53+M53+N53</f>
        <v>12981.170000000002</v>
      </c>
      <c r="O73" s="30">
        <f>+E73+H73+K73+N73</f>
        <v>46398.95</v>
      </c>
    </row>
    <row r="74" spans="4:15" ht="12">
      <c r="D74" t="s">
        <v>22</v>
      </c>
      <c r="E74" s="43">
        <f>+C54+D54+E54</f>
        <v>1180027.55</v>
      </c>
      <c r="G74" t="s">
        <v>22</v>
      </c>
      <c r="H74" s="44">
        <f>+F54+G54+H54</f>
        <v>1735516.7199999997</v>
      </c>
      <c r="I74" s="30" t="s">
        <v>2</v>
      </c>
      <c r="J74" t="s">
        <v>22</v>
      </c>
      <c r="K74" s="43">
        <f>+I54+J54+K54</f>
        <v>1225143.45</v>
      </c>
      <c r="L74" s="30" t="s">
        <v>2</v>
      </c>
      <c r="M74" t="s">
        <v>22</v>
      </c>
      <c r="N74" s="49">
        <f>+L54+M54+N54</f>
        <v>2549766.5599999996</v>
      </c>
      <c r="O74" s="30">
        <f>+O72+O73</f>
        <v>6690454.28</v>
      </c>
    </row>
    <row r="75" spans="4:15" ht="12">
      <c r="D75" t="s">
        <v>25</v>
      </c>
      <c r="E75" s="50">
        <f>+D66</f>
        <v>2223.75</v>
      </c>
      <c r="F75" s="33"/>
      <c r="G75" s="33" t="s">
        <v>25</v>
      </c>
      <c r="H75" s="1">
        <v>0</v>
      </c>
      <c r="I75" s="34"/>
      <c r="J75" s="33" t="s">
        <v>25</v>
      </c>
      <c r="K75" s="50">
        <v>0</v>
      </c>
      <c r="L75" s="34"/>
      <c r="M75" s="33" t="s">
        <v>25</v>
      </c>
      <c r="N75" s="50">
        <v>0</v>
      </c>
      <c r="O75" s="63">
        <f>+E75+H75+K75+N75</f>
        <v>2223.75</v>
      </c>
    </row>
    <row r="76" spans="4:15" ht="12">
      <c r="D76" t="s">
        <v>31</v>
      </c>
      <c r="E76" s="46">
        <f>1182867-E74-E75</f>
        <v>615.6999999999534</v>
      </c>
      <c r="F76" s="33"/>
      <c r="G76" t="s">
        <v>31</v>
      </c>
      <c r="H76" s="48">
        <v>0</v>
      </c>
      <c r="I76" s="34"/>
      <c r="J76" t="s">
        <v>31</v>
      </c>
      <c r="K76" s="46">
        <v>0</v>
      </c>
      <c r="L76" s="34" t="s">
        <v>2</v>
      </c>
      <c r="M76" s="33" t="s">
        <v>31</v>
      </c>
      <c r="N76" s="46">
        <v>0</v>
      </c>
      <c r="O76" s="63">
        <f>-(6692678.03-6690455)</f>
        <v>-2223.0300000002608</v>
      </c>
    </row>
    <row r="77" spans="4:15" ht="12">
      <c r="D77" t="s">
        <v>28</v>
      </c>
      <c r="E77" s="42">
        <f>+E74+E75+E76</f>
        <v>1182867</v>
      </c>
      <c r="F77" s="33"/>
      <c r="G77" s="33" t="s">
        <v>28</v>
      </c>
      <c r="H77" s="51">
        <f>+H74+H76</f>
        <v>1735516.7199999997</v>
      </c>
      <c r="I77" s="34"/>
      <c r="J77" s="33" t="s">
        <v>28</v>
      </c>
      <c r="K77" s="40">
        <f>+K74+K75</f>
        <v>1225143.45</v>
      </c>
      <c r="L77" s="34"/>
      <c r="M77" s="33" t="s">
        <v>28</v>
      </c>
      <c r="N77" s="42">
        <f>+N74+N75</f>
        <v>2549766.5599999996</v>
      </c>
      <c r="O77" s="42">
        <f>+O74+O75+O76</f>
        <v>6690455</v>
      </c>
    </row>
    <row r="78" spans="4:14" ht="12">
      <c r="D78" t="s">
        <v>2</v>
      </c>
      <c r="E78" s="34" t="s">
        <v>2</v>
      </c>
      <c r="F78" s="33"/>
      <c r="G78" s="33" t="s">
        <v>2</v>
      </c>
      <c r="H78" s="34" t="s">
        <v>2</v>
      </c>
      <c r="I78" s="33"/>
      <c r="J78" s="33" t="s">
        <v>2</v>
      </c>
      <c r="K78" s="43" t="s">
        <v>2</v>
      </c>
      <c r="L78" s="33"/>
      <c r="M78" s="33" t="s">
        <v>2</v>
      </c>
      <c r="N78" s="34" t="s">
        <v>2</v>
      </c>
    </row>
    <row r="79" spans="4:15" ht="12">
      <c r="D79" t="s">
        <v>23</v>
      </c>
      <c r="E79" s="34">
        <f>+C56+D56+E56</f>
        <v>445232.19000000006</v>
      </c>
      <c r="F79" s="33"/>
      <c r="G79" s="33" t="s">
        <v>23</v>
      </c>
      <c r="H79" s="34">
        <f>+F56+G56+H56</f>
        <v>635894.27</v>
      </c>
      <c r="I79" s="33"/>
      <c r="J79" s="33" t="s">
        <v>23</v>
      </c>
      <c r="K79" s="52">
        <f>+I56+J56+K56</f>
        <v>809951.2899999999</v>
      </c>
      <c r="L79" s="33" t="s">
        <v>2</v>
      </c>
      <c r="M79" s="33" t="s">
        <v>23</v>
      </c>
      <c r="N79" s="34">
        <f>+L56+M56+N56</f>
        <v>473748.32000000007</v>
      </c>
      <c r="O79" s="30">
        <f>+E79+H79+K79+N79</f>
        <v>2364826.0700000003</v>
      </c>
    </row>
    <row r="80" spans="4:15" ht="12">
      <c r="D80" t="s">
        <v>1</v>
      </c>
      <c r="E80" s="34">
        <f>+C57+D57+E57</f>
        <v>0</v>
      </c>
      <c r="F80" s="33"/>
      <c r="G80" s="33" t="s">
        <v>1</v>
      </c>
      <c r="H80" s="34">
        <f>+F57+G57+H57</f>
        <v>287727.54000000004</v>
      </c>
      <c r="I80" s="33"/>
      <c r="J80" s="33" t="s">
        <v>1</v>
      </c>
      <c r="K80" s="53">
        <f>+I57+J57+K57</f>
        <v>139623.65</v>
      </c>
      <c r="L80" s="33"/>
      <c r="M80" s="33" t="s">
        <v>1</v>
      </c>
      <c r="N80" s="34">
        <f>+L57+M57+N57</f>
        <v>209637.44</v>
      </c>
      <c r="O80" s="30">
        <f>+E80+H80+K80+N80</f>
        <v>636988.6300000001</v>
      </c>
    </row>
    <row r="81" spans="4:15" ht="12">
      <c r="D81" t="s">
        <v>24</v>
      </c>
      <c r="E81" s="43">
        <f>+C58+D58+E58</f>
        <v>445232.19000000006</v>
      </c>
      <c r="F81" s="33"/>
      <c r="G81" s="33" t="s">
        <v>24</v>
      </c>
      <c r="H81" s="43">
        <f>+F58+G58+H58</f>
        <v>923621.81</v>
      </c>
      <c r="I81" s="33"/>
      <c r="J81" s="33" t="s">
        <v>24</v>
      </c>
      <c r="K81" s="34">
        <f>+I58+J58+K58</f>
        <v>949574.94</v>
      </c>
      <c r="L81" s="33"/>
      <c r="M81" s="33" t="s">
        <v>24</v>
      </c>
      <c r="N81" s="43">
        <f>+L58+M58+N58</f>
        <v>683385.76</v>
      </c>
      <c r="O81" s="44">
        <f>+E81+H81+K81+N81</f>
        <v>3001814.7</v>
      </c>
    </row>
    <row r="82" spans="4:15" ht="12">
      <c r="D82" t="s">
        <v>25</v>
      </c>
      <c r="E82" s="46">
        <f>+C66</f>
        <v>27000</v>
      </c>
      <c r="F82" s="33"/>
      <c r="G82" s="33" t="s">
        <v>25</v>
      </c>
      <c r="H82" s="46">
        <v>0</v>
      </c>
      <c r="I82" s="33"/>
      <c r="J82" s="33" t="s">
        <v>25</v>
      </c>
      <c r="K82" s="31">
        <v>0</v>
      </c>
      <c r="L82" s="33"/>
      <c r="M82" s="33" t="s">
        <v>25</v>
      </c>
      <c r="N82" s="46">
        <v>0</v>
      </c>
      <c r="O82" s="64">
        <f>+E82+H82+K82+N82</f>
        <v>27000</v>
      </c>
    </row>
    <row r="83" spans="4:15" ht="12">
      <c r="D83" s="61" t="s">
        <v>28</v>
      </c>
      <c r="E83" s="40">
        <f>+E81+E82</f>
        <v>472232.19000000006</v>
      </c>
      <c r="F83" s="33"/>
      <c r="G83" s="33" t="s">
        <v>28</v>
      </c>
      <c r="H83" s="42">
        <f>+H81+H82</f>
        <v>923621.81</v>
      </c>
      <c r="I83" s="33"/>
      <c r="J83" s="33" t="s">
        <v>28</v>
      </c>
      <c r="K83" s="42">
        <f>+K81+K82</f>
        <v>949574.94</v>
      </c>
      <c r="L83" s="33"/>
      <c r="M83" s="33" t="s">
        <v>28</v>
      </c>
      <c r="N83" s="42">
        <f>+N81+N82</f>
        <v>683385.76</v>
      </c>
      <c r="O83" s="30">
        <f>+E83+H83+K83+N83</f>
        <v>3028814.7</v>
      </c>
    </row>
    <row r="84" spans="5:14" ht="12">
      <c r="E84" s="43" t="s">
        <v>2</v>
      </c>
      <c r="F84" s="33"/>
      <c r="G84" s="33"/>
      <c r="H84" s="34" t="s">
        <v>2</v>
      </c>
      <c r="I84" s="33"/>
      <c r="J84" s="33"/>
      <c r="K84" s="34" t="s">
        <v>2</v>
      </c>
      <c r="L84" s="33"/>
      <c r="M84" s="33"/>
      <c r="N84" s="34" t="s">
        <v>2</v>
      </c>
    </row>
    <row r="85" spans="4:15" ht="12">
      <c r="D85" t="s">
        <v>26</v>
      </c>
      <c r="E85" s="40">
        <f>+C60+D60+E60</f>
        <v>1172067.77</v>
      </c>
      <c r="G85" t="s">
        <v>26</v>
      </c>
      <c r="H85" s="40">
        <f>+F60+G60+H60</f>
        <v>223732.64</v>
      </c>
      <c r="J85" t="s">
        <v>26</v>
      </c>
      <c r="K85" s="40">
        <f>+I60+J60+K60</f>
        <v>1147630.28</v>
      </c>
      <c r="M85" t="s">
        <v>26</v>
      </c>
      <c r="N85" s="30">
        <f>+L60+M60+N60</f>
        <v>643884.63</v>
      </c>
      <c r="O85" s="30">
        <f>+E85+H85+K85+N85</f>
        <v>3187315.3200000003</v>
      </c>
    </row>
    <row r="86" spans="5:15" ht="12">
      <c r="E86" s="40"/>
      <c r="H86" s="40"/>
      <c r="K86" s="30"/>
      <c r="M86" t="s">
        <v>31</v>
      </c>
      <c r="N86" s="31">
        <f>643886-N85</f>
        <v>1.3699999999953434</v>
      </c>
      <c r="O86" s="30">
        <f>3164943-O85</f>
        <v>-22372.320000000298</v>
      </c>
    </row>
    <row r="87" spans="5:15" ht="12">
      <c r="E87" s="40"/>
      <c r="H87" s="40"/>
      <c r="K87" s="30"/>
      <c r="M87" t="s">
        <v>33</v>
      </c>
      <c r="N87" s="54">
        <f>+N85+N86</f>
        <v>643886</v>
      </c>
      <c r="O87" s="54">
        <f>+O85+O86</f>
        <v>3164943</v>
      </c>
    </row>
    <row r="88" spans="5:14" ht="12">
      <c r="E88" s="30" t="s">
        <v>2</v>
      </c>
      <c r="H88" s="30" t="s">
        <v>2</v>
      </c>
      <c r="K88" s="30" t="s">
        <v>2</v>
      </c>
      <c r="N88" s="30" t="s">
        <v>2</v>
      </c>
    </row>
    <row r="89" spans="4:15" ht="12">
      <c r="D89" t="s">
        <v>0</v>
      </c>
      <c r="E89" s="40">
        <f>+C62+D62+E62</f>
        <v>93316.71</v>
      </c>
      <c r="G89" t="s">
        <v>0</v>
      </c>
      <c r="H89" s="40">
        <f>+F62+G62+H62</f>
        <v>38577.64</v>
      </c>
      <c r="J89" t="s">
        <v>0</v>
      </c>
      <c r="K89" s="34">
        <f>+I62+J62+K62</f>
        <v>142414.11</v>
      </c>
      <c r="M89" t="s">
        <v>0</v>
      </c>
      <c r="N89" s="34">
        <f>+L62+M62+N62</f>
        <v>429014.2</v>
      </c>
      <c r="O89" s="40">
        <f>+E89+H89+K89+N89</f>
        <v>703322.6599999999</v>
      </c>
    </row>
    <row r="90" spans="4:15" ht="12">
      <c r="D90" t="s">
        <v>25</v>
      </c>
      <c r="E90" s="31">
        <v>27000</v>
      </c>
      <c r="G90" t="s">
        <v>25</v>
      </c>
      <c r="H90" s="40"/>
      <c r="J90" t="s">
        <v>25</v>
      </c>
      <c r="K90" s="30">
        <v>0</v>
      </c>
      <c r="M90" t="s">
        <v>25</v>
      </c>
      <c r="N90" s="30"/>
      <c r="O90" s="30">
        <f>+E90+H90+K90+N90</f>
        <v>27000</v>
      </c>
    </row>
    <row r="91" spans="4:15" ht="12">
      <c r="D91" t="s">
        <v>31</v>
      </c>
      <c r="E91" s="31">
        <f>93317-101954.76</f>
        <v>-8637.759999999995</v>
      </c>
      <c r="G91" t="s">
        <v>31</v>
      </c>
      <c r="H91" s="40"/>
      <c r="J91" t="s">
        <v>31</v>
      </c>
      <c r="K91" s="30">
        <v>0</v>
      </c>
      <c r="N91" s="30"/>
      <c r="O91" s="30"/>
    </row>
    <row r="92" spans="4:15" ht="12">
      <c r="D92" t="s">
        <v>18</v>
      </c>
      <c r="E92" s="42">
        <f>+E89+E90+E91</f>
        <v>111678.95000000001</v>
      </c>
      <c r="G92" t="s">
        <v>18</v>
      </c>
      <c r="H92" s="42">
        <f>+H89+H90</f>
        <v>38577.64</v>
      </c>
      <c r="J92" t="s">
        <v>18</v>
      </c>
      <c r="K92" s="42">
        <f>+K89+K90+K91</f>
        <v>142414.11</v>
      </c>
      <c r="M92" t="s">
        <v>18</v>
      </c>
      <c r="N92" s="42">
        <f>+N89+N90+N91</f>
        <v>429014.2</v>
      </c>
      <c r="O92" s="62">
        <f>+O89+O90</f>
        <v>730322.6599999999</v>
      </c>
    </row>
    <row r="93" spans="5:14" ht="12">
      <c r="E93" s="30" t="s">
        <v>2</v>
      </c>
      <c r="H93" s="30" t="s">
        <v>2</v>
      </c>
      <c r="K93" s="30" t="s">
        <v>2</v>
      </c>
      <c r="N93" s="30" t="s">
        <v>2</v>
      </c>
    </row>
    <row r="94" spans="4:15" ht="12">
      <c r="D94" t="s">
        <v>27</v>
      </c>
      <c r="E94" s="40">
        <f>+C64+D64+E64</f>
        <v>0</v>
      </c>
      <c r="G94" t="s">
        <v>27</v>
      </c>
      <c r="H94" s="30">
        <f>+F64+G64+H64</f>
        <v>0</v>
      </c>
      <c r="J94" t="s">
        <v>27</v>
      </c>
      <c r="K94" s="40">
        <f>+I64+J64+K64</f>
        <v>1507.58</v>
      </c>
      <c r="M94" t="s">
        <v>27</v>
      </c>
      <c r="N94" s="30">
        <f>+L64+M64+N64</f>
        <v>0</v>
      </c>
      <c r="O94" s="30">
        <f>+E94+H94+K94+N94</f>
        <v>1507.58</v>
      </c>
    </row>
    <row r="95" spans="5:14" ht="12">
      <c r="E95" s="30" t="s">
        <v>2</v>
      </c>
      <c r="H95" s="30" t="s">
        <v>2</v>
      </c>
      <c r="K95" s="30" t="s">
        <v>2</v>
      </c>
      <c r="N95" s="30" t="s">
        <v>2</v>
      </c>
    </row>
    <row r="96" spans="4:15" ht="12">
      <c r="D96" t="s">
        <v>25</v>
      </c>
      <c r="E96" s="30">
        <v>0</v>
      </c>
      <c r="G96" t="s">
        <v>25</v>
      </c>
      <c r="H96" s="41">
        <f>+F66+G66+H66</f>
        <v>15316.03</v>
      </c>
      <c r="J96" t="s">
        <v>25</v>
      </c>
      <c r="K96" s="41">
        <f>+I66+J66+K66</f>
        <v>18450.64</v>
      </c>
      <c r="M96" t="s">
        <v>25</v>
      </c>
      <c r="N96" s="31">
        <f>+L66+M66+N66</f>
        <v>132884.72</v>
      </c>
      <c r="O96" s="30">
        <f>+E96+H96+K96+N96</f>
        <v>166651.39</v>
      </c>
    </row>
    <row r="97" spans="5:15" ht="12">
      <c r="E97" s="30"/>
      <c r="H97" s="41"/>
      <c r="K97" s="41"/>
      <c r="M97" t="s">
        <v>31</v>
      </c>
      <c r="N97" s="31">
        <f>118157-N96</f>
        <v>-14727.720000000001</v>
      </c>
      <c r="O97" s="30">
        <f>+O98-O96</f>
        <v>36867.609999999986</v>
      </c>
    </row>
    <row r="98" spans="5:15" ht="12">
      <c r="E98" s="30"/>
      <c r="H98" s="41"/>
      <c r="K98" s="41"/>
      <c r="M98" t="s">
        <v>32</v>
      </c>
      <c r="N98" s="54">
        <f>+N96+N97</f>
        <v>118157</v>
      </c>
      <c r="O98" s="42">
        <v>203519</v>
      </c>
    </row>
    <row r="99" ht="12">
      <c r="K99" s="30" t="s">
        <v>2</v>
      </c>
    </row>
    <row r="100" spans="4:15" ht="12">
      <c r="D100" t="s">
        <v>18</v>
      </c>
      <c r="E100" s="44">
        <f>+E96+E94+E92+E85+E83+E77</f>
        <v>2938845.91</v>
      </c>
      <c r="G100" t="s">
        <v>18</v>
      </c>
      <c r="H100" s="44">
        <f>+H96+H94+H92+H85+H83+H77</f>
        <v>2936764.84</v>
      </c>
      <c r="J100" t="s">
        <v>18</v>
      </c>
      <c r="K100" s="44">
        <f>+K96+K94+K92+K85+K83+K77</f>
        <v>3484721</v>
      </c>
      <c r="N100" s="30">
        <f>+N98+N94+N92+N87+N83+N77</f>
        <v>4424209.52</v>
      </c>
      <c r="O100" s="30">
        <f>+M68+N68+O68</f>
        <v>16824329.78</v>
      </c>
    </row>
    <row r="101" spans="4:15" ht="12">
      <c r="D101" s="39" t="s">
        <v>30</v>
      </c>
      <c r="E101" s="45">
        <v>110406.5</v>
      </c>
      <c r="H101" s="45">
        <f>+H69</f>
        <v>24186.64</v>
      </c>
      <c r="K101" s="45">
        <f>+K69</f>
        <v>0</v>
      </c>
      <c r="N101" s="40">
        <f>+N69</f>
        <v>33205.66</v>
      </c>
      <c r="O101" s="30">
        <f>+E101+H101+K101+N101</f>
        <v>167798.80000000002</v>
      </c>
    </row>
    <row r="102" spans="5:15" ht="12.75" thickBot="1">
      <c r="E102" s="47">
        <f>+E100+E101</f>
        <v>3049252.41</v>
      </c>
      <c r="H102" s="47">
        <f>+H100+H101</f>
        <v>2960951.48</v>
      </c>
      <c r="K102" s="47">
        <f>+K100+K101</f>
        <v>3484721</v>
      </c>
      <c r="N102" s="55">
        <f>+N100+N101</f>
        <v>4457415.18</v>
      </c>
      <c r="O102" s="47">
        <f>+O100+O101</f>
        <v>16992128.580000002</v>
      </c>
    </row>
    <row r="103" ht="12.75" thickTop="1"/>
    <row r="105" spans="3:15" ht="12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 t="s">
        <v>18</v>
      </c>
    </row>
    <row r="106" spans="3:15" ht="12">
      <c r="C106" s="26" t="s">
        <v>6</v>
      </c>
      <c r="D106" s="26" t="s">
        <v>7</v>
      </c>
      <c r="E106" s="26" t="s">
        <v>8</v>
      </c>
      <c r="F106" s="26" t="s">
        <v>9</v>
      </c>
      <c r="G106" s="26" t="s">
        <v>10</v>
      </c>
      <c r="H106" s="26" t="s">
        <v>11</v>
      </c>
      <c r="I106" s="26" t="s">
        <v>12</v>
      </c>
      <c r="J106" s="26" t="s">
        <v>13</v>
      </c>
      <c r="K106" s="26" t="s">
        <v>14</v>
      </c>
      <c r="L106" s="26" t="s">
        <v>15</v>
      </c>
      <c r="M106" s="26" t="s">
        <v>16</v>
      </c>
      <c r="N106" s="26" t="s">
        <v>17</v>
      </c>
      <c r="O106" s="26" t="s">
        <v>19</v>
      </c>
    </row>
    <row r="107" spans="3:15" ht="12">
      <c r="C107" s="26">
        <v>2006</v>
      </c>
      <c r="D107" s="26">
        <v>2006</v>
      </c>
      <c r="E107" s="26">
        <v>2006</v>
      </c>
      <c r="F107" s="26">
        <v>2006</v>
      </c>
      <c r="G107" s="26">
        <v>2006</v>
      </c>
      <c r="H107" s="26">
        <v>2006</v>
      </c>
      <c r="I107" s="26">
        <v>2007</v>
      </c>
      <c r="J107" s="26">
        <v>2007</v>
      </c>
      <c r="K107" s="26">
        <v>2007</v>
      </c>
      <c r="L107" s="26">
        <v>2007</v>
      </c>
      <c r="M107" s="26">
        <v>2007</v>
      </c>
      <c r="N107" s="26">
        <v>2007</v>
      </c>
      <c r="O107" s="26">
        <v>2007</v>
      </c>
    </row>
    <row r="108" ht="12">
      <c r="P108" s="38" t="s">
        <v>29</v>
      </c>
    </row>
    <row r="109" spans="1:15" ht="12">
      <c r="A109" t="s">
        <v>20</v>
      </c>
      <c r="C109" s="27">
        <v>227287.61</v>
      </c>
      <c r="D109" s="27">
        <f>706004.71-3074.58-0.12</f>
        <v>702930.01</v>
      </c>
      <c r="E109" s="27">
        <v>375564.79</v>
      </c>
      <c r="F109" s="27">
        <v>222034.68</v>
      </c>
      <c r="G109" s="27">
        <v>460333.85</v>
      </c>
      <c r="H109" s="27">
        <v>478002.39</v>
      </c>
      <c r="I109" s="27">
        <v>480981.58</v>
      </c>
      <c r="J109" s="27">
        <v>416126.55</v>
      </c>
      <c r="K109" s="27">
        <f>661399.98-903.94</f>
        <v>660496.04</v>
      </c>
      <c r="L109" s="27">
        <v>357864.03</v>
      </c>
      <c r="M109" s="27">
        <f>311942.58-5000</f>
        <v>306942.58</v>
      </c>
      <c r="N109" s="27">
        <f>705929.01-19</f>
        <v>705910.01</v>
      </c>
      <c r="O109" s="27">
        <f>SUM(C109:N109)</f>
        <v>5394474.12</v>
      </c>
    </row>
    <row r="110" spans="1:15" ht="12">
      <c r="A110" t="s">
        <v>21</v>
      </c>
      <c r="C110" s="27">
        <v>3556.1</v>
      </c>
      <c r="D110" s="27">
        <v>4134.71</v>
      </c>
      <c r="E110" s="27">
        <v>5097.19</v>
      </c>
      <c r="F110" s="27">
        <f>3376.04-81.25</f>
        <v>3294.79</v>
      </c>
      <c r="G110" s="27">
        <f>4835.26-106.2</f>
        <v>4729.06</v>
      </c>
      <c r="H110" s="27">
        <v>2036.7</v>
      </c>
      <c r="I110" s="27">
        <v>3967.51</v>
      </c>
      <c r="J110" s="27">
        <v>7881.27</v>
      </c>
      <c r="K110" s="27">
        <v>6576.45</v>
      </c>
      <c r="L110" s="27">
        <v>5693.48</v>
      </c>
      <c r="M110" s="27">
        <v>2593.75</v>
      </c>
      <c r="N110" s="27">
        <v>3568.04</v>
      </c>
      <c r="O110" s="27">
        <f>SUM(C110:N110)</f>
        <v>53129.049999999996</v>
      </c>
    </row>
    <row r="111" spans="1:15" ht="12">
      <c r="A111" t="s">
        <v>22</v>
      </c>
      <c r="C111" s="28">
        <f aca="true" t="shared" si="9" ref="C111:O111">+C109+C110</f>
        <v>230843.71</v>
      </c>
      <c r="D111" s="28">
        <f t="shared" si="9"/>
        <v>707064.72</v>
      </c>
      <c r="E111" s="28">
        <f t="shared" si="9"/>
        <v>380661.98</v>
      </c>
      <c r="F111" s="28">
        <f t="shared" si="9"/>
        <v>225329.47</v>
      </c>
      <c r="G111" s="28">
        <f t="shared" si="9"/>
        <v>465062.91</v>
      </c>
      <c r="H111" s="28">
        <f t="shared" si="9"/>
        <v>480039.09</v>
      </c>
      <c r="I111" s="28">
        <f t="shared" si="9"/>
        <v>484949.09</v>
      </c>
      <c r="J111" s="28">
        <f t="shared" si="9"/>
        <v>424007.82</v>
      </c>
      <c r="K111" s="28">
        <f t="shared" si="9"/>
        <v>667072.49</v>
      </c>
      <c r="L111" s="28">
        <f t="shared" si="9"/>
        <v>363557.51</v>
      </c>
      <c r="M111" s="28">
        <f t="shared" si="9"/>
        <v>309536.33</v>
      </c>
      <c r="N111" s="28">
        <f t="shared" si="9"/>
        <v>709478.05</v>
      </c>
      <c r="O111" s="28">
        <f t="shared" si="9"/>
        <v>5447603.17</v>
      </c>
    </row>
    <row r="112" spans="3:15" ht="1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">
      <c r="A113" t="s">
        <v>23</v>
      </c>
      <c r="C113" s="27">
        <f>306380.71-C114</f>
        <v>200015.92000000004</v>
      </c>
      <c r="D113" s="27">
        <f>225526.25-D114</f>
        <v>125516.69</v>
      </c>
      <c r="E113" s="27">
        <f>454014.39-E114</f>
        <v>436427.35000000003</v>
      </c>
      <c r="F113" s="27">
        <f>363424.45-F114</f>
        <v>287488.16000000003</v>
      </c>
      <c r="G113" s="27">
        <f>367962.76-G114</f>
        <v>279968.1</v>
      </c>
      <c r="H113" s="27">
        <f>442129.66-H114</f>
        <v>312324.11</v>
      </c>
      <c r="I113" s="27">
        <f>257760.35-I114</f>
        <v>161112.40000000002</v>
      </c>
      <c r="J113" s="27">
        <f>224531.02-J114</f>
        <v>204217.11</v>
      </c>
      <c r="K113" s="27">
        <f>241061.24-K114</f>
        <v>218529.22999999998</v>
      </c>
      <c r="L113" s="27">
        <f>211098.61-L114</f>
        <v>204188.25</v>
      </c>
      <c r="M113" s="27">
        <f>439399.41-M114</f>
        <v>322354.45999999996</v>
      </c>
      <c r="N113" s="27">
        <f>846144.14-N114</f>
        <v>710806.0900000001</v>
      </c>
      <c r="O113" s="27">
        <f>SUM(C113:N113)</f>
        <v>3462947.87</v>
      </c>
    </row>
    <row r="114" spans="1:15" ht="12">
      <c r="A114" t="s">
        <v>1</v>
      </c>
      <c r="C114" s="27">
        <v>106364.79</v>
      </c>
      <c r="D114" s="27">
        <v>100009.56</v>
      </c>
      <c r="E114" s="27">
        <v>17587.04</v>
      </c>
      <c r="F114" s="27">
        <v>75936.29</v>
      </c>
      <c r="G114" s="27">
        <v>87994.66</v>
      </c>
      <c r="H114" s="27">
        <v>129805.55</v>
      </c>
      <c r="I114" s="27">
        <v>96647.95</v>
      </c>
      <c r="J114" s="27">
        <v>20313.91</v>
      </c>
      <c r="K114" s="27">
        <v>22532.01</v>
      </c>
      <c r="L114" s="27">
        <v>6910.36</v>
      </c>
      <c r="M114" s="27">
        <v>117044.95</v>
      </c>
      <c r="N114" s="27">
        <v>135338.05</v>
      </c>
      <c r="O114" s="27">
        <f>SUM(C114:N114)</f>
        <v>916485.1199999999</v>
      </c>
    </row>
    <row r="115" spans="1:15" ht="12">
      <c r="A115" t="s">
        <v>24</v>
      </c>
      <c r="C115" s="28">
        <f aca="true" t="shared" si="10" ref="C115:O115">+C113+C114</f>
        <v>306380.71</v>
      </c>
      <c r="D115" s="28">
        <f t="shared" si="10"/>
        <v>225526.25</v>
      </c>
      <c r="E115" s="28">
        <f t="shared" si="10"/>
        <v>454014.39</v>
      </c>
      <c r="F115" s="28">
        <f t="shared" si="10"/>
        <v>363424.45</v>
      </c>
      <c r="G115" s="28">
        <f t="shared" si="10"/>
        <v>367962.76</v>
      </c>
      <c r="H115" s="28">
        <f t="shared" si="10"/>
        <v>442129.66</v>
      </c>
      <c r="I115" s="28">
        <f t="shared" si="10"/>
        <v>257760.35000000003</v>
      </c>
      <c r="J115" s="28">
        <f t="shared" si="10"/>
        <v>224531.02</v>
      </c>
      <c r="K115" s="28">
        <f t="shared" si="10"/>
        <v>241061.24</v>
      </c>
      <c r="L115" s="28">
        <f t="shared" si="10"/>
        <v>211098.61</v>
      </c>
      <c r="M115" s="28">
        <f t="shared" si="10"/>
        <v>439399.41</v>
      </c>
      <c r="N115" s="28">
        <f t="shared" si="10"/>
        <v>846144.1400000001</v>
      </c>
      <c r="O115" s="28">
        <f t="shared" si="10"/>
        <v>4379432.99</v>
      </c>
    </row>
    <row r="116" spans="3:15" ht="12">
      <c r="C116" s="27"/>
      <c r="D116" s="27"/>
      <c r="E116" s="27"/>
      <c r="F116" s="27"/>
      <c r="G116" s="31" t="s">
        <v>2</v>
      </c>
      <c r="H116" s="27"/>
      <c r="I116" s="27" t="s">
        <v>2</v>
      </c>
      <c r="J116" s="27"/>
      <c r="K116" s="27"/>
      <c r="L116" s="27"/>
      <c r="M116" s="27"/>
      <c r="N116" s="27"/>
      <c r="O116" s="27"/>
    </row>
    <row r="117" spans="1:15" ht="12">
      <c r="A117" t="s">
        <v>26</v>
      </c>
      <c r="C117" s="27">
        <v>57467.78</v>
      </c>
      <c r="D117" s="27">
        <f>73768.67-10762.61</f>
        <v>63006.06</v>
      </c>
      <c r="E117" s="27">
        <f>17640.87-354.26</f>
        <v>17286.61</v>
      </c>
      <c r="F117" s="27">
        <v>800.7</v>
      </c>
      <c r="G117" s="59">
        <f>16767.07-2404.39</f>
        <v>14362.68</v>
      </c>
      <c r="H117" s="27">
        <f>22772.62-1065.74</f>
        <v>21706.879999999997</v>
      </c>
      <c r="I117" s="27">
        <f>13776.37-840</f>
        <v>12936.37</v>
      </c>
      <c r="J117" s="27">
        <f>7241.38-7217.83</f>
        <v>23.550000000000182</v>
      </c>
      <c r="K117" s="27">
        <v>34012.1</v>
      </c>
      <c r="L117" s="27">
        <v>0</v>
      </c>
      <c r="M117" s="27">
        <v>8810.07</v>
      </c>
      <c r="N117" s="27">
        <v>0</v>
      </c>
      <c r="O117" s="27">
        <f>SUM(C117:N117)</f>
        <v>230412.80000000002</v>
      </c>
    </row>
    <row r="118" spans="3:15" ht="1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2">
      <c r="A119" t="s">
        <v>0</v>
      </c>
      <c r="C119" s="27">
        <v>43885.44</v>
      </c>
      <c r="D119" s="27">
        <v>316247.45</v>
      </c>
      <c r="E119" s="27">
        <v>8042.83</v>
      </c>
      <c r="F119" s="27">
        <v>22169.21</v>
      </c>
      <c r="G119" s="27">
        <v>33081.96</v>
      </c>
      <c r="H119" s="27">
        <v>15815.34</v>
      </c>
      <c r="I119" s="27">
        <v>36159.67</v>
      </c>
      <c r="J119" s="27">
        <v>53276.04</v>
      </c>
      <c r="K119" s="27">
        <v>90184.92</v>
      </c>
      <c r="L119" s="27">
        <v>5459.31</v>
      </c>
      <c r="M119" s="27">
        <v>72154.49</v>
      </c>
      <c r="N119" s="27">
        <v>127570.87</v>
      </c>
      <c r="O119" s="27">
        <f>SUM(C119:N119)</f>
        <v>824047.5300000001</v>
      </c>
    </row>
    <row r="120" spans="3:15" ht="1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2">
      <c r="A121" t="s">
        <v>27</v>
      </c>
      <c r="C121" s="27">
        <v>0</v>
      </c>
      <c r="D121" s="27">
        <v>0</v>
      </c>
      <c r="E121" s="27">
        <v>608.01</v>
      </c>
      <c r="F121" s="27">
        <f>8953.69-3545.98</f>
        <v>5407.710000000001</v>
      </c>
      <c r="G121" s="27">
        <v>216.85</v>
      </c>
      <c r="H121" s="27">
        <v>5246.39</v>
      </c>
      <c r="I121" s="27">
        <f>+-3485.9+23451.43</f>
        <v>19965.53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f>SUM(C121:N121)</f>
        <v>31444.49</v>
      </c>
    </row>
    <row r="122" spans="3:15" ht="1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2">
      <c r="A123" t="s">
        <v>25</v>
      </c>
      <c r="C123" s="27">
        <v>0</v>
      </c>
      <c r="D123" s="27">
        <f>3074.58+10762.61</f>
        <v>13837.19</v>
      </c>
      <c r="E123" s="27">
        <v>354.26</v>
      </c>
      <c r="F123" s="27">
        <v>4988.87</v>
      </c>
      <c r="G123" s="27">
        <f>106.2+2404.39</f>
        <v>2510.5899999999997</v>
      </c>
      <c r="H123" s="27">
        <v>1065.74</v>
      </c>
      <c r="I123" s="27">
        <v>4325.9</v>
      </c>
      <c r="J123" s="27">
        <v>0</v>
      </c>
      <c r="K123" s="27">
        <v>903.84</v>
      </c>
      <c r="L123" s="27">
        <v>47302.3</v>
      </c>
      <c r="M123" s="27">
        <v>5000</v>
      </c>
      <c r="N123" s="27">
        <v>19</v>
      </c>
      <c r="O123" s="27">
        <f>SUM(C123:N123)</f>
        <v>80307.69</v>
      </c>
    </row>
    <row r="124" spans="3:15" ht="1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2.75" thickBot="1">
      <c r="A125" t="s">
        <v>18</v>
      </c>
      <c r="C125" s="29">
        <f>+C123+C119+C115+C111+C117+C121</f>
        <v>638577.64</v>
      </c>
      <c r="D125" s="29">
        <f>+D123+D119+D115+D111+D117+D121</f>
        <v>1325681.67</v>
      </c>
      <c r="E125" s="29">
        <f>+E123+E119+E115+E111+E117+E121</f>
        <v>860968.08</v>
      </c>
      <c r="F125" s="29">
        <f aca="true" t="shared" si="11" ref="F125:O125">+F123+F119+F115+F111+F117+F121</f>
        <v>622120.4099999999</v>
      </c>
      <c r="G125" s="67">
        <f t="shared" si="11"/>
        <v>883197.75</v>
      </c>
      <c r="H125" s="29">
        <f t="shared" si="11"/>
        <v>966003.1000000001</v>
      </c>
      <c r="I125" s="29">
        <f t="shared" si="11"/>
        <v>816096.91</v>
      </c>
      <c r="J125" s="29">
        <f t="shared" si="11"/>
        <v>701838.43</v>
      </c>
      <c r="K125" s="29">
        <f t="shared" si="11"/>
        <v>1033234.59</v>
      </c>
      <c r="L125" s="29">
        <f t="shared" si="11"/>
        <v>627417.73</v>
      </c>
      <c r="M125" s="29">
        <f t="shared" si="11"/>
        <v>834900.2999999999</v>
      </c>
      <c r="N125" s="29">
        <f t="shared" si="11"/>
        <v>1683212.06</v>
      </c>
      <c r="O125" s="29">
        <f t="shared" si="11"/>
        <v>10993248.670000002</v>
      </c>
    </row>
    <row r="126" spans="3:15" ht="12.75" thickTop="1">
      <c r="C126" s="39"/>
      <c r="D126" s="39"/>
      <c r="E126" s="39"/>
      <c r="F126" s="39" t="s">
        <v>35</v>
      </c>
      <c r="G126" s="68">
        <v>6521.92</v>
      </c>
      <c r="H126" s="39"/>
      <c r="I126" s="39"/>
      <c r="J126" s="39"/>
      <c r="K126" s="39"/>
      <c r="L126" s="39"/>
      <c r="M126" s="39"/>
      <c r="N126" s="39"/>
      <c r="O126" s="39"/>
    </row>
    <row r="127" spans="3:15" ht="12">
      <c r="C127" s="39"/>
      <c r="D127" s="39"/>
      <c r="E127" s="39"/>
      <c r="F127" s="39"/>
      <c r="G127" s="28">
        <f>+G125+G126</f>
        <v>889719.67</v>
      </c>
      <c r="H127" s="39"/>
      <c r="I127" s="39"/>
      <c r="J127" s="39"/>
      <c r="K127" s="39"/>
      <c r="L127" s="39"/>
      <c r="M127" s="39"/>
      <c r="N127" s="39"/>
      <c r="O127" s="39"/>
    </row>
    <row r="128" spans="3:4" ht="12">
      <c r="C128" s="27"/>
      <c r="D128" s="27"/>
    </row>
    <row r="129" spans="4:15" ht="12">
      <c r="D129" t="s">
        <v>20</v>
      </c>
      <c r="E129" s="30">
        <f>+C109+D109+E109</f>
        <v>1305782.41</v>
      </c>
      <c r="G129" t="s">
        <v>20</v>
      </c>
      <c r="H129" s="30">
        <f>+F109+G109+H109</f>
        <v>1160370.92</v>
      </c>
      <c r="I129" s="30" t="s">
        <v>2</v>
      </c>
      <c r="J129" t="s">
        <v>20</v>
      </c>
      <c r="K129" s="30">
        <f>+I109+J109+K109</f>
        <v>1557604.17</v>
      </c>
      <c r="M129" t="s">
        <v>20</v>
      </c>
      <c r="N129" s="30">
        <f>+L109+M109+N109</f>
        <v>1370716.62</v>
      </c>
      <c r="O129" s="30">
        <f>+E129+H129+K129+N129</f>
        <v>5394474.12</v>
      </c>
    </row>
    <row r="130" spans="4:15" ht="12">
      <c r="D130" t="s">
        <v>21</v>
      </c>
      <c r="E130" s="30">
        <f>+C110+D110+E110</f>
        <v>12788</v>
      </c>
      <c r="G130" t="s">
        <v>21</v>
      </c>
      <c r="H130" s="30">
        <f>+F110+G110+H110</f>
        <v>10060.550000000001</v>
      </c>
      <c r="I130" t="s">
        <v>2</v>
      </c>
      <c r="J130" t="s">
        <v>21</v>
      </c>
      <c r="K130" s="30">
        <f>+I110+J110+K110</f>
        <v>18425.23</v>
      </c>
      <c r="M130" t="s">
        <v>21</v>
      </c>
      <c r="N130" s="30">
        <f>+L110+M110+N110</f>
        <v>11855.27</v>
      </c>
      <c r="O130" s="30">
        <f>+E130+H130+K130+N130</f>
        <v>53129.05</v>
      </c>
    </row>
    <row r="131" spans="4:15" ht="12">
      <c r="D131" t="s">
        <v>22</v>
      </c>
      <c r="E131" s="30">
        <f>+C111+D111+E111</f>
        <v>1318570.41</v>
      </c>
      <c r="G131" t="s">
        <v>22</v>
      </c>
      <c r="H131" s="49">
        <f>+F111+G111+H111</f>
        <v>1170431.47</v>
      </c>
      <c r="I131" s="30" t="s">
        <v>2</v>
      </c>
      <c r="J131" t="s">
        <v>22</v>
      </c>
      <c r="K131" s="30">
        <f>+I111+J111+K111</f>
        <v>1576029.4</v>
      </c>
      <c r="L131" s="30" t="s">
        <v>2</v>
      </c>
      <c r="M131" t="s">
        <v>22</v>
      </c>
      <c r="N131" s="30">
        <f>+L111+M111+N111</f>
        <v>1382571.8900000001</v>
      </c>
      <c r="O131" s="30">
        <f>+E131+H131+K131+N131</f>
        <v>5447603.17</v>
      </c>
    </row>
    <row r="132" spans="4:15" ht="12">
      <c r="D132" t="s">
        <v>25</v>
      </c>
      <c r="F132" s="33"/>
      <c r="G132" s="33" t="s">
        <v>25</v>
      </c>
      <c r="H132" s="46">
        <f>+H123</f>
        <v>1065.74</v>
      </c>
      <c r="I132" s="34"/>
      <c r="J132" s="33" t="s">
        <v>25</v>
      </c>
      <c r="K132" s="31">
        <v>0</v>
      </c>
      <c r="L132" s="34"/>
      <c r="M132" s="33" t="s">
        <v>25</v>
      </c>
      <c r="N132" s="31">
        <v>0</v>
      </c>
      <c r="O132" s="30">
        <f>+E134+H132+K132+N132</f>
        <v>1069.3300000000838</v>
      </c>
    </row>
    <row r="133" spans="4:15" ht="12">
      <c r="D133" t="s">
        <v>28</v>
      </c>
      <c r="F133" s="33"/>
      <c r="H133" s="34">
        <f>+H131+H132</f>
        <v>1171497.21</v>
      </c>
      <c r="I133" s="34"/>
      <c r="J133" s="33" t="s">
        <v>28</v>
      </c>
      <c r="K133" s="40">
        <f>+K131+K132</f>
        <v>1576029.4</v>
      </c>
      <c r="L133" s="34"/>
      <c r="M133" s="33" t="s">
        <v>28</v>
      </c>
      <c r="N133" s="34">
        <f>+N131+N132</f>
        <v>1382571.8900000001</v>
      </c>
      <c r="O133" s="30">
        <f>+E135+H133+K133+N133</f>
        <v>5448672.5</v>
      </c>
    </row>
    <row r="134" spans="5:15" ht="12">
      <c r="E134" s="41">
        <f>+E135-E131</f>
        <v>3.590000000083819</v>
      </c>
      <c r="F134" s="33"/>
      <c r="G134" s="33"/>
      <c r="H134" s="34">
        <f>+H135-H133</f>
        <v>-9443.209999999963</v>
      </c>
      <c r="I134" s="34"/>
      <c r="J134" s="33"/>
      <c r="K134" s="34"/>
      <c r="L134" s="34"/>
      <c r="M134" s="33"/>
      <c r="N134" s="34"/>
      <c r="O134" s="30"/>
    </row>
    <row r="135" spans="5:15" ht="12.75" thickBot="1">
      <c r="E135" s="40">
        <v>1318574</v>
      </c>
      <c r="F135" s="33"/>
      <c r="G135" s="33" t="s">
        <v>28</v>
      </c>
      <c r="H135" s="47">
        <v>1162054</v>
      </c>
      <c r="I135" s="34"/>
      <c r="J135" s="33"/>
      <c r="K135" s="34"/>
      <c r="L135" s="34"/>
      <c r="M135" s="33"/>
      <c r="N135" s="34"/>
      <c r="O135" s="30"/>
    </row>
    <row r="136" spans="4:14" ht="12.75" thickTop="1">
      <c r="D136" t="s">
        <v>2</v>
      </c>
      <c r="E136" s="34" t="s">
        <v>2</v>
      </c>
      <c r="F136" s="33"/>
      <c r="G136" s="33" t="s">
        <v>2</v>
      </c>
      <c r="H136" s="34" t="s">
        <v>2</v>
      </c>
      <c r="I136" s="33"/>
      <c r="J136" s="33" t="s">
        <v>2</v>
      </c>
      <c r="K136" s="34" t="s">
        <v>2</v>
      </c>
      <c r="L136" s="33"/>
      <c r="M136" s="33" t="s">
        <v>2</v>
      </c>
      <c r="N136" s="34" t="s">
        <v>2</v>
      </c>
    </row>
    <row r="137" spans="4:15" ht="12">
      <c r="D137" t="s">
        <v>23</v>
      </c>
      <c r="E137" s="34">
        <f>+C113+D113+E113</f>
        <v>761959.9600000001</v>
      </c>
      <c r="F137" s="33"/>
      <c r="G137" s="33" t="s">
        <v>23</v>
      </c>
      <c r="H137" s="34">
        <f>+F113+G113+H113</f>
        <v>879780.37</v>
      </c>
      <c r="I137" s="33"/>
      <c r="J137" s="33" t="s">
        <v>23</v>
      </c>
      <c r="K137" s="34">
        <f>+I113+J113+K113</f>
        <v>583858.74</v>
      </c>
      <c r="L137" s="33"/>
      <c r="M137" s="33" t="s">
        <v>23</v>
      </c>
      <c r="N137" s="34">
        <f>+L113+M113+N113</f>
        <v>1237348.8</v>
      </c>
      <c r="O137" s="30">
        <f>+E137+H137+K137+N137</f>
        <v>3462947.87</v>
      </c>
    </row>
    <row r="138" spans="4:15" ht="12">
      <c r="D138" t="s">
        <v>1</v>
      </c>
      <c r="E138" s="34">
        <f>+C114+D114+E114</f>
        <v>223961.38999999998</v>
      </c>
      <c r="F138" s="33"/>
      <c r="G138" s="33" t="s">
        <v>1</v>
      </c>
      <c r="H138" s="34">
        <f>+F114+G114+H114</f>
        <v>293736.5</v>
      </c>
      <c r="I138" s="33"/>
      <c r="J138" s="33" t="s">
        <v>1</v>
      </c>
      <c r="K138" s="34">
        <f>+I114+J114+K114</f>
        <v>139493.87</v>
      </c>
      <c r="L138" s="33"/>
      <c r="M138" s="33" t="s">
        <v>1</v>
      </c>
      <c r="N138" s="34">
        <f>+L114+M114+N114</f>
        <v>259293.36</v>
      </c>
      <c r="O138" s="30">
        <f>+E138+H138+K138+N138</f>
        <v>916485.12</v>
      </c>
    </row>
    <row r="139" spans="4:15" ht="12">
      <c r="D139" t="s">
        <v>24</v>
      </c>
      <c r="E139" s="34">
        <f>+C115+D115+E115</f>
        <v>985921.35</v>
      </c>
      <c r="F139" s="33"/>
      <c r="G139" s="33" t="s">
        <v>24</v>
      </c>
      <c r="H139" s="43">
        <f>+F115+G115+H115</f>
        <v>1173516.8699999999</v>
      </c>
      <c r="I139" s="33"/>
      <c r="J139" s="33" t="s">
        <v>24</v>
      </c>
      <c r="K139" s="34">
        <f>+I115+J115+K115</f>
        <v>723352.61</v>
      </c>
      <c r="L139" s="33"/>
      <c r="M139" s="33" t="s">
        <v>24</v>
      </c>
      <c r="N139" s="34">
        <f>+L115+M115+N115</f>
        <v>1496642.1600000001</v>
      </c>
      <c r="O139" s="30">
        <f>+E139+H139+K139+N139</f>
        <v>4379432.99</v>
      </c>
    </row>
    <row r="140" spans="4:15" ht="12">
      <c r="D140" t="s">
        <v>25</v>
      </c>
      <c r="E140" s="31">
        <v>0</v>
      </c>
      <c r="F140" s="33"/>
      <c r="G140" s="33" t="s">
        <v>25</v>
      </c>
      <c r="H140" s="46">
        <v>0</v>
      </c>
      <c r="I140" s="33"/>
      <c r="J140" s="33" t="s">
        <v>25</v>
      </c>
      <c r="K140" s="31">
        <v>0</v>
      </c>
      <c r="L140" s="33"/>
      <c r="M140" s="33" t="s">
        <v>25</v>
      </c>
      <c r="N140" s="31">
        <v>0</v>
      </c>
      <c r="O140" s="30">
        <f>+E140+H140+K140+N140</f>
        <v>0</v>
      </c>
    </row>
    <row r="141" spans="4:15" ht="12">
      <c r="D141" t="s">
        <v>28</v>
      </c>
      <c r="E141" s="40">
        <f>+E139+E140</f>
        <v>985921.35</v>
      </c>
      <c r="F141" s="33"/>
      <c r="G141" s="33" t="s">
        <v>28</v>
      </c>
      <c r="H141" s="40">
        <f>+H139+H140</f>
        <v>1173516.8699999999</v>
      </c>
      <c r="I141" s="33"/>
      <c r="J141" s="33" t="s">
        <v>28</v>
      </c>
      <c r="K141" s="40">
        <f>+K139+K140</f>
        <v>723352.61</v>
      </c>
      <c r="L141" s="33"/>
      <c r="M141" s="33" t="s">
        <v>28</v>
      </c>
      <c r="N141" s="34">
        <f>+N139+N140</f>
        <v>1496642.1600000001</v>
      </c>
      <c r="O141" s="30">
        <f>+E141+H141+K141+N141</f>
        <v>4379432.99</v>
      </c>
    </row>
    <row r="142" spans="5:14" ht="12">
      <c r="E142" s="34" t="s">
        <v>2</v>
      </c>
      <c r="F142" s="33"/>
      <c r="G142" s="33"/>
      <c r="H142" s="34" t="s">
        <v>2</v>
      </c>
      <c r="I142" s="33"/>
      <c r="J142" s="33"/>
      <c r="K142" s="34" t="s">
        <v>2</v>
      </c>
      <c r="L142" s="33"/>
      <c r="M142" s="33"/>
      <c r="N142" s="34" t="s">
        <v>2</v>
      </c>
    </row>
    <row r="143" spans="4:15" ht="12">
      <c r="D143" t="s">
        <v>26</v>
      </c>
      <c r="E143" s="40">
        <f>+C117+D117+E117</f>
        <v>137760.45</v>
      </c>
      <c r="G143" t="s">
        <v>26</v>
      </c>
      <c r="H143" s="30">
        <f>+F117+G117+H117</f>
        <v>36870.259999999995</v>
      </c>
      <c r="J143" t="s">
        <v>26</v>
      </c>
      <c r="K143" s="30">
        <f>+I117+J117+K117</f>
        <v>46972.020000000004</v>
      </c>
      <c r="M143" t="s">
        <v>26</v>
      </c>
      <c r="N143" s="30">
        <f>+L117+M117+N117</f>
        <v>8810.07</v>
      </c>
      <c r="O143" s="30">
        <f>+E143+H143+K143+N143</f>
        <v>230412.80000000005</v>
      </c>
    </row>
    <row r="144" spans="5:15" ht="12">
      <c r="E144" s="40"/>
      <c r="H144" s="30">
        <f>+H145-H143</f>
        <v>4899.740000000005</v>
      </c>
      <c r="K144" s="30">
        <f>+K145-K143</f>
        <v>-0.020000000004074536</v>
      </c>
      <c r="N144" s="30"/>
      <c r="O144" s="30"/>
    </row>
    <row r="145" spans="5:15" ht="12.75" thickBot="1">
      <c r="E145" s="40"/>
      <c r="H145" s="47">
        <v>41770</v>
      </c>
      <c r="K145" s="47">
        <v>46972</v>
      </c>
      <c r="N145" s="30"/>
      <c r="O145" s="30"/>
    </row>
    <row r="146" spans="5:14" ht="12.75" thickTop="1">
      <c r="E146" s="30" t="s">
        <v>2</v>
      </c>
      <c r="H146" s="30" t="s">
        <v>2</v>
      </c>
      <c r="K146" s="30" t="s">
        <v>2</v>
      </c>
      <c r="N146" s="30" t="s">
        <v>2</v>
      </c>
    </row>
    <row r="147" spans="4:15" ht="12">
      <c r="D147" t="s">
        <v>0</v>
      </c>
      <c r="E147" s="40">
        <f>+C119+D119+E119</f>
        <v>368175.72000000003</v>
      </c>
      <c r="G147" t="s">
        <v>0</v>
      </c>
      <c r="H147" s="40">
        <f>+F119+G119+H119</f>
        <v>71066.51</v>
      </c>
      <c r="J147" t="s">
        <v>0</v>
      </c>
      <c r="K147" s="40">
        <f>+I119+J119+K119</f>
        <v>179620.63</v>
      </c>
      <c r="M147" t="s">
        <v>0</v>
      </c>
      <c r="N147" s="30">
        <f>+L119+M119+N119</f>
        <v>205184.66999999998</v>
      </c>
      <c r="O147" s="30">
        <f>+E147+H147+K147+N147</f>
        <v>824047.53</v>
      </c>
    </row>
    <row r="148" spans="5:14" ht="12">
      <c r="E148" s="30" t="s">
        <v>2</v>
      </c>
      <c r="H148" s="30" t="s">
        <v>2</v>
      </c>
      <c r="K148" s="30" t="s">
        <v>2</v>
      </c>
      <c r="N148" s="30" t="s">
        <v>2</v>
      </c>
    </row>
    <row r="149" spans="4:15" ht="12">
      <c r="D149" t="s">
        <v>27</v>
      </c>
      <c r="E149" s="40">
        <f>+C121+D121+E121</f>
        <v>608.01</v>
      </c>
      <c r="G149" t="s">
        <v>27</v>
      </c>
      <c r="H149" s="30">
        <f>+F121+G121+H121</f>
        <v>10870.95</v>
      </c>
      <c r="J149" t="s">
        <v>27</v>
      </c>
      <c r="K149" s="40">
        <f>+I121+J121+K121</f>
        <v>19965.53</v>
      </c>
      <c r="M149" t="s">
        <v>27</v>
      </c>
      <c r="N149" s="30">
        <f>+L121+M121+N121</f>
        <v>0</v>
      </c>
      <c r="O149" s="30">
        <f>+E149+H149+K149+N149</f>
        <v>31444.489999999998</v>
      </c>
    </row>
    <row r="150" spans="5:15" ht="12">
      <c r="E150" s="40"/>
      <c r="H150" s="30">
        <f>+H151-H149</f>
        <v>3546.0499999999993</v>
      </c>
      <c r="K150" s="30"/>
      <c r="N150" s="30"/>
      <c r="O150" s="30"/>
    </row>
    <row r="151" spans="5:15" ht="12.75" thickBot="1">
      <c r="E151" s="40"/>
      <c r="H151" s="47">
        <v>14417</v>
      </c>
      <c r="K151" s="30"/>
      <c r="N151" s="30"/>
      <c r="O151" s="30"/>
    </row>
    <row r="152" spans="5:14" ht="12.75" thickTop="1">
      <c r="E152" s="30" t="s">
        <v>2</v>
      </c>
      <c r="H152" s="30" t="s">
        <v>2</v>
      </c>
      <c r="K152" s="30" t="s">
        <v>2</v>
      </c>
      <c r="N152" s="30" t="s">
        <v>2</v>
      </c>
    </row>
    <row r="153" spans="4:15" ht="12">
      <c r="D153" t="s">
        <v>25</v>
      </c>
      <c r="E153" s="40">
        <f>+C123+D123+E123</f>
        <v>14191.45</v>
      </c>
      <c r="G153" t="s">
        <v>25</v>
      </c>
      <c r="H153" s="30">
        <v>0</v>
      </c>
      <c r="J153" t="s">
        <v>25</v>
      </c>
      <c r="K153" s="30">
        <f>+I123+J123+K123</f>
        <v>5229.74</v>
      </c>
      <c r="M153" t="s">
        <v>25</v>
      </c>
      <c r="N153" s="30">
        <v>0</v>
      </c>
      <c r="O153" s="30">
        <f>+E153+H153+K153+N153</f>
        <v>19421.190000000002</v>
      </c>
    </row>
    <row r="154" spans="5:15" ht="12">
      <c r="E154" s="40"/>
      <c r="H154" s="30"/>
      <c r="K154" s="30">
        <f>+K155-K153</f>
        <v>7287.26</v>
      </c>
      <c r="N154" s="30"/>
      <c r="O154" s="30"/>
    </row>
    <row r="155" spans="5:15" ht="12">
      <c r="E155" s="40"/>
      <c r="H155" s="30"/>
      <c r="K155" s="30">
        <v>12517</v>
      </c>
      <c r="N155" s="30"/>
      <c r="O155" s="30"/>
    </row>
    <row r="156" ht="15" customHeight="1">
      <c r="K156" s="30" t="s">
        <v>2</v>
      </c>
    </row>
    <row r="157" spans="4:15" ht="12">
      <c r="D157" t="s">
        <v>18</v>
      </c>
      <c r="E157" s="30">
        <f>+C125+D125+E125</f>
        <v>2825227.39</v>
      </c>
      <c r="G157" t="s">
        <v>18</v>
      </c>
      <c r="H157" s="30">
        <f>+F125+G125+H125</f>
        <v>2471321.26</v>
      </c>
      <c r="J157" t="s">
        <v>18</v>
      </c>
      <c r="K157" s="30">
        <f>+I125+J125+K125</f>
        <v>2551169.93</v>
      </c>
      <c r="N157" s="30">
        <f>+L125+M125+N125</f>
        <v>3145530.09</v>
      </c>
      <c r="O157" s="30">
        <f>+M125+N125+O125</f>
        <v>13511361.030000001</v>
      </c>
    </row>
    <row r="158" spans="5:8" ht="12">
      <c r="E158" s="66">
        <v>3.47</v>
      </c>
      <c r="G158" t="s">
        <v>30</v>
      </c>
      <c r="H158" s="40">
        <f>+G126</f>
        <v>6521.92</v>
      </c>
    </row>
    <row r="159" ht="12">
      <c r="E159" s="40">
        <f>+E157+E158</f>
        <v>2825230.8600000003</v>
      </c>
    </row>
    <row r="160" ht="12">
      <c r="H160" s="30">
        <f>+H134+H144+H150</f>
        <v>-997.4199999999582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Nystedt</dc:creator>
  <cp:keywords/>
  <dc:description/>
  <cp:lastModifiedBy>Roberts, Jennifer</cp:lastModifiedBy>
  <cp:lastPrinted>2013-02-21T00:02:40Z</cp:lastPrinted>
  <dcterms:created xsi:type="dcterms:W3CDTF">2008-04-18T21:56:48Z</dcterms:created>
  <dcterms:modified xsi:type="dcterms:W3CDTF">2013-03-04T22:39:04Z</dcterms:modified>
  <cp:category/>
  <cp:version/>
  <cp:contentType/>
  <cp:contentStatus/>
</cp:coreProperties>
</file>